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lieErslandVestbø\Downloads\"/>
    </mc:Choice>
  </mc:AlternateContent>
  <xr:revisionPtr revIDLastSave="0" documentId="8_{2DBA509B-9FEB-43A2-ACDB-AC34DD0E090D}" xr6:coauthVersionLast="46" xr6:coauthVersionMax="46" xr10:uidLastSave="{00000000-0000-0000-0000-000000000000}"/>
  <bookViews>
    <workbookView xWindow="-29430" yWindow="360" windowWidth="27255" windowHeight="15030" xr2:uid="{96BC0152-5C57-457B-8218-71373721196D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O21" i="1" s="1"/>
  <c r="O24" i="1" s="1"/>
  <c r="F23" i="1"/>
  <c r="O22" i="1" s="1"/>
  <c r="F22" i="1"/>
  <c r="F21" i="1"/>
  <c r="O20" i="1"/>
  <c r="F20" i="1"/>
  <c r="J13" i="1" s="1"/>
  <c r="O13" i="1" s="1"/>
  <c r="G18" i="1"/>
  <c r="T16" i="1"/>
  <c r="K16" i="1"/>
  <c r="G16" i="1"/>
  <c r="F16" i="1"/>
  <c r="E16" i="1"/>
  <c r="D16" i="1"/>
  <c r="C16" i="1"/>
  <c r="L16" i="1" s="1"/>
  <c r="T15" i="1"/>
  <c r="L15" i="1"/>
  <c r="K15" i="1"/>
  <c r="G15" i="1"/>
  <c r="F15" i="1"/>
  <c r="E15" i="1"/>
  <c r="D15" i="1"/>
  <c r="C15" i="1"/>
  <c r="T14" i="1"/>
  <c r="L14" i="1"/>
  <c r="K14" i="1"/>
  <c r="G14" i="1"/>
  <c r="F14" i="1"/>
  <c r="E14" i="1"/>
  <c r="D14" i="1"/>
  <c r="C14" i="1"/>
  <c r="T13" i="1"/>
  <c r="L13" i="1"/>
  <c r="K13" i="1"/>
  <c r="G13" i="1"/>
  <c r="F13" i="1"/>
  <c r="E13" i="1"/>
  <c r="D13" i="1"/>
  <c r="C13" i="1"/>
  <c r="T12" i="1"/>
  <c r="L12" i="1"/>
  <c r="K12" i="1"/>
  <c r="G12" i="1"/>
  <c r="F12" i="1"/>
  <c r="E12" i="1"/>
  <c r="D12" i="1"/>
  <c r="C12" i="1"/>
  <c r="T11" i="1"/>
  <c r="L11" i="1"/>
  <c r="K11" i="1"/>
  <c r="G11" i="1"/>
  <c r="F11" i="1"/>
  <c r="E11" i="1"/>
  <c r="D11" i="1"/>
  <c r="C11" i="1"/>
  <c r="T10" i="1"/>
  <c r="L10" i="1"/>
  <c r="K10" i="1"/>
  <c r="G10" i="1"/>
  <c r="F10" i="1"/>
  <c r="E10" i="1"/>
  <c r="D10" i="1"/>
  <c r="C10" i="1"/>
  <c r="T9" i="1"/>
  <c r="L9" i="1"/>
  <c r="K9" i="1"/>
  <c r="G9" i="1"/>
  <c r="F9" i="1"/>
  <c r="E9" i="1"/>
  <c r="D9" i="1"/>
  <c r="C9" i="1"/>
  <c r="T8" i="1"/>
  <c r="L8" i="1"/>
  <c r="K8" i="1"/>
  <c r="G8" i="1"/>
  <c r="F8" i="1"/>
  <c r="E8" i="1"/>
  <c r="D8" i="1"/>
  <c r="C8" i="1"/>
  <c r="T7" i="1"/>
  <c r="L7" i="1"/>
  <c r="K7" i="1"/>
  <c r="G7" i="1"/>
  <c r="F7" i="1"/>
  <c r="E7" i="1"/>
  <c r="D7" i="1"/>
  <c r="C7" i="1"/>
  <c r="T6" i="1"/>
  <c r="L6" i="1"/>
  <c r="K6" i="1"/>
  <c r="G6" i="1"/>
  <c r="F6" i="1"/>
  <c r="E6" i="1"/>
  <c r="D6" i="1"/>
  <c r="C6" i="1"/>
  <c r="T5" i="1"/>
  <c r="G5" i="1"/>
  <c r="E5" i="1"/>
  <c r="D5" i="1"/>
  <c r="C5" i="1"/>
  <c r="L5" i="1" s="1"/>
  <c r="O16" i="1" l="1"/>
  <c r="P13" i="1"/>
  <c r="N13" i="1" s="1"/>
  <c r="M13" i="1"/>
  <c r="R13" i="1"/>
  <c r="Q13" i="1"/>
  <c r="S13" i="1" s="1"/>
  <c r="J6" i="1"/>
  <c r="O6" i="1" s="1"/>
  <c r="J7" i="1"/>
  <c r="O7" i="1" s="1"/>
  <c r="J8" i="1"/>
  <c r="O8" i="1" s="1"/>
  <c r="J9" i="1"/>
  <c r="O9" i="1" s="1"/>
  <c r="J10" i="1"/>
  <c r="O10" i="1" s="1"/>
  <c r="J11" i="1"/>
  <c r="O11" i="1" s="1"/>
  <c r="J14" i="1"/>
  <c r="O14" i="1" s="1"/>
  <c r="J15" i="1"/>
  <c r="O15" i="1" s="1"/>
  <c r="J16" i="1"/>
  <c r="J5" i="1"/>
  <c r="O5" i="1" s="1"/>
  <c r="J12" i="1"/>
  <c r="O12" i="1" s="1"/>
  <c r="R5" i="1" l="1"/>
  <c r="Q5" i="1"/>
  <c r="S5" i="1" s="1"/>
  <c r="P5" i="1"/>
  <c r="N5" i="1" s="1"/>
  <c r="M5" i="1"/>
  <c r="P7" i="1"/>
  <c r="N7" i="1" s="1"/>
  <c r="M7" i="1"/>
  <c r="R7" i="1"/>
  <c r="Q7" i="1"/>
  <c r="S7" i="1" s="1"/>
  <c r="R6" i="1"/>
  <c r="Q6" i="1"/>
  <c r="S6" i="1" s="1"/>
  <c r="M6" i="1"/>
  <c r="P6" i="1"/>
  <c r="N6" i="1" s="1"/>
  <c r="P12" i="1"/>
  <c r="N12" i="1" s="1"/>
  <c r="M12" i="1"/>
  <c r="R12" i="1"/>
  <c r="Q12" i="1"/>
  <c r="S12" i="1" s="1"/>
  <c r="P15" i="1"/>
  <c r="N15" i="1" s="1"/>
  <c r="R15" i="1"/>
  <c r="Q15" i="1"/>
  <c r="S15" i="1" s="1"/>
  <c r="M15" i="1"/>
  <c r="R8" i="1"/>
  <c r="P8" i="1"/>
  <c r="N8" i="1" s="1"/>
  <c r="M8" i="1"/>
  <c r="Q8" i="1"/>
  <c r="S8" i="1" s="1"/>
  <c r="M11" i="1"/>
  <c r="R11" i="1"/>
  <c r="Q11" i="1"/>
  <c r="S11" i="1" s="1"/>
  <c r="P11" i="1"/>
  <c r="N11" i="1" s="1"/>
  <c r="R14" i="1"/>
  <c r="Q14" i="1"/>
  <c r="S14" i="1" s="1"/>
  <c r="P14" i="1"/>
  <c r="N14" i="1" s="1"/>
  <c r="M14" i="1"/>
  <c r="R10" i="1"/>
  <c r="M10" i="1"/>
  <c r="Q10" i="1"/>
  <c r="S10" i="1" s="1"/>
  <c r="P10" i="1"/>
  <c r="N10" i="1" s="1"/>
  <c r="M9" i="1"/>
  <c r="R9" i="1"/>
  <c r="Q9" i="1"/>
  <c r="S9" i="1" s="1"/>
  <c r="P9" i="1"/>
  <c r="N9" i="1" s="1"/>
  <c r="R16" i="1"/>
  <c r="P16" i="1"/>
  <c r="N16" i="1" s="1"/>
  <c r="M16" i="1"/>
  <c r="Q16" i="1"/>
  <c r="S16" i="1" s="1"/>
  <c r="S17" i="1" l="1"/>
  <c r="R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harald</author>
  </authors>
  <commentList>
    <comment ref="J6" authorId="0" shapeId="0" xr:uid="{0422DF70-D34C-4F06-A547-93DBEA23D25A}">
      <text>
        <r>
          <rPr>
            <b/>
            <sz val="9"/>
            <color indexed="81"/>
            <rFont val="Tahoma"/>
            <charset val="1"/>
          </rPr>
          <t>harald: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<sst xmlns="http://schemas.openxmlformats.org/spreadsheetml/2006/main" count="52" uniqueCount="40">
  <si>
    <t>Sett inn i farget kolonner</t>
  </si>
  <si>
    <t>Resultat 2020</t>
  </si>
  <si>
    <t>Døgnsats inkl. alle element</t>
  </si>
  <si>
    <t>Aktiv tid</t>
  </si>
  <si>
    <t>Tilgj.tid</t>
  </si>
  <si>
    <t>Passiv tid</t>
  </si>
  <si>
    <t>Aktiv</t>
  </si>
  <si>
    <t>tilgj.tid</t>
  </si>
  <si>
    <t>Overtid</t>
  </si>
  <si>
    <t>Fagbrev</t>
  </si>
  <si>
    <t>UB timer</t>
  </si>
  <si>
    <t>UB tillegg</t>
  </si>
  <si>
    <t xml:space="preserve">Passiv </t>
  </si>
  <si>
    <t>Timesats</t>
  </si>
  <si>
    <t>Døgnsats</t>
  </si>
  <si>
    <t>Økning døgn</t>
  </si>
  <si>
    <t>Gjenoms.</t>
  </si>
  <si>
    <t>Økning kr</t>
  </si>
  <si>
    <t xml:space="preserve">Økning døgn i % </t>
  </si>
  <si>
    <t>lønn</t>
  </si>
  <si>
    <t>aktiv tid</t>
  </si>
  <si>
    <t>Kr</t>
  </si>
  <si>
    <t>Lønn</t>
  </si>
  <si>
    <t>U/fagbrev</t>
  </si>
  <si>
    <t>M/fagbrev</t>
  </si>
  <si>
    <t>Tillegg -19/-20</t>
  </si>
  <si>
    <t>time lønn</t>
  </si>
  <si>
    <t>per time</t>
  </si>
  <si>
    <t>tillegg -19/-20</t>
  </si>
  <si>
    <t>Gjennomsnitt</t>
  </si>
  <si>
    <t>Tillegg oppgjer 2020 fra 1. oktober</t>
  </si>
  <si>
    <t>Overtid utrekning</t>
  </si>
  <si>
    <t>Aktiv timesats 2020</t>
  </si>
  <si>
    <t>Ordinær timelønn på arbeidende tid</t>
  </si>
  <si>
    <t>Overtid 100% av arbeidene timesats</t>
  </si>
  <si>
    <t>Passiv timesats</t>
  </si>
  <si>
    <t>Passiv tillegg for overtid 50% av ordinær passiv lønn</t>
  </si>
  <si>
    <t>Passiv timesats overtid</t>
  </si>
  <si>
    <t>Overtid betaling per time overtid</t>
  </si>
  <si>
    <t>Fagbrev per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</si>
</sst>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kr&quot;\ * #,##0.00_-;\-&quot;kr&quot;\ * #,##0.00_-;_-&quot;kr&quot;\ * &quot;-&quot;??_-;_-@_-"/>
    <numFmt numFmtId="164" formatCode="_ &quot;kr&quot;\ * #,##0.00_ ;_ &quot;kr&quot;\ * \-#,##0.00_ ;_ &quot;kr&quot;\ * &quot;-&quot;??_ ;_ @_ "/>
    <numFmt numFmtId="165" formatCode="0.0\ %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0" fillId="3" borderId="0" xfId="0" applyFill="1"/>
    <xf numFmtId="0" fontId="3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9" fontId="0" fillId="0" borderId="8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11" xfId="0" applyFill="1" applyBorder="1"/>
    <xf numFmtId="44" fontId="0" fillId="0" borderId="11" xfId="1" applyFont="1" applyBorder="1"/>
    <xf numFmtId="164" fontId="0" fillId="2" borderId="11" xfId="0" applyNumberFormat="1" applyFill="1" applyBorder="1"/>
    <xf numFmtId="44" fontId="0" fillId="4" borderId="12" xfId="1" applyFont="1" applyFill="1" applyBorder="1"/>
    <xf numFmtId="164" fontId="0" fillId="4" borderId="12" xfId="0" applyNumberFormat="1" applyFill="1" applyBorder="1"/>
    <xf numFmtId="164" fontId="0" fillId="0" borderId="13" xfId="0" applyNumberFormat="1" applyBorder="1"/>
    <xf numFmtId="164" fontId="0" fillId="0" borderId="14" xfId="0" applyNumberFormat="1" applyBorder="1"/>
    <xf numFmtId="10" fontId="0" fillId="4" borderId="15" xfId="2" applyNumberFormat="1" applyFont="1" applyFill="1" applyBorder="1"/>
    <xf numFmtId="2" fontId="0" fillId="0" borderId="0" xfId="0" applyNumberFormat="1"/>
    <xf numFmtId="0" fontId="0" fillId="5" borderId="11" xfId="0" applyFill="1" applyBorder="1"/>
    <xf numFmtId="0" fontId="0" fillId="3" borderId="11" xfId="0" applyFill="1" applyBorder="1"/>
    <xf numFmtId="44" fontId="0" fillId="5" borderId="11" xfId="1" applyFont="1" applyFill="1" applyBorder="1"/>
    <xf numFmtId="164" fontId="0" fillId="5" borderId="11" xfId="0" applyNumberFormat="1" applyFill="1" applyBorder="1"/>
    <xf numFmtId="164" fontId="0" fillId="0" borderId="16" xfId="0" applyNumberFormat="1" applyBorder="1"/>
    <xf numFmtId="164" fontId="0" fillId="0" borderId="11" xfId="0" applyNumberFormat="1" applyBorder="1"/>
    <xf numFmtId="164" fontId="0" fillId="4" borderId="17" xfId="0" applyNumberFormat="1" applyFill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2" fontId="0" fillId="0" borderId="21" xfId="0" applyNumberFormat="1" applyBorder="1"/>
    <xf numFmtId="44" fontId="0" fillId="0" borderId="21" xfId="1" applyFont="1" applyBorder="1"/>
    <xf numFmtId="164" fontId="0" fillId="0" borderId="21" xfId="0" applyNumberFormat="1" applyBorder="1"/>
    <xf numFmtId="164" fontId="0" fillId="0" borderId="0" xfId="0" applyNumberFormat="1"/>
    <xf numFmtId="164" fontId="0" fillId="0" borderId="8" xfId="0" applyNumberFormat="1" applyBorder="1"/>
    <xf numFmtId="0" fontId="0" fillId="6" borderId="0" xfId="0" applyFill="1"/>
    <xf numFmtId="44" fontId="0" fillId="2" borderId="0" xfId="1" applyFont="1" applyFill="1"/>
    <xf numFmtId="164" fontId="0" fillId="6" borderId="0" xfId="0" applyNumberFormat="1" applyFill="1"/>
    <xf numFmtId="165" fontId="0" fillId="0" borderId="0" xfId="0" applyNumberFormat="1"/>
    <xf numFmtId="44" fontId="0" fillId="0" borderId="0" xfId="1" applyFont="1"/>
    <xf numFmtId="0" fontId="2" fillId="0" borderId="0" xfId="0" applyFont="1"/>
    <xf numFmtId="10" fontId="0" fillId="0" borderId="0" xfId="0" applyNumberFormat="1"/>
    <xf numFmtId="9" fontId="0" fillId="0" borderId="0" xfId="0" applyNumberFormat="1"/>
    <xf numFmtId="44" fontId="4" fillId="0" borderId="0" xfId="1" applyFont="1"/>
    <xf numFmtId="44" fontId="0" fillId="2" borderId="0" xfId="1" applyFont="1" applyFill="1" applyBorder="1"/>
    <xf numFmtId="166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Normal" xfId="0" builtinId="0"/>
    <cellStyle name="Prosent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lieErslandVestb&#248;/AppData/Local/Microsoft/Windows/INetCache/Content.Outlook/8TZIRBU0/Beregnings%20modell%20gjennomsnitt%20l&#248;n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"/>
      <sheetName val="Gammel"/>
      <sheetName val="Ark3"/>
      <sheetName val="Resultat 2019"/>
      <sheetName val="utgår"/>
      <sheetName val="ikke jyldig"/>
      <sheetName val="Resultat 2020"/>
      <sheetName val="  "/>
      <sheetName val=" "/>
    </sheetNames>
    <sheetDataSet>
      <sheetData sheetId="0"/>
      <sheetData sheetId="1"/>
      <sheetData sheetId="2"/>
      <sheetData sheetId="3">
        <row r="5">
          <cell r="O5">
            <v>1628.46675</v>
          </cell>
        </row>
        <row r="6">
          <cell r="O6">
            <v>1725.3018750000001</v>
          </cell>
        </row>
        <row r="7">
          <cell r="O7">
            <v>1822.1369999999997</v>
          </cell>
        </row>
        <row r="8">
          <cell r="O8">
            <v>1918.972125</v>
          </cell>
        </row>
        <row r="9">
          <cell r="O9">
            <v>2015.8072500000001</v>
          </cell>
        </row>
        <row r="10">
          <cell r="O10">
            <v>2112.6423749999999</v>
          </cell>
        </row>
        <row r="11">
          <cell r="O11">
            <v>2209.4775</v>
          </cell>
        </row>
        <row r="12">
          <cell r="O12">
            <v>2306.312625</v>
          </cell>
        </row>
        <row r="13">
          <cell r="O13">
            <v>2403.1477500000001</v>
          </cell>
        </row>
        <row r="14">
          <cell r="O14">
            <v>2499.9828750000001</v>
          </cell>
        </row>
        <row r="15">
          <cell r="O15">
            <v>2596.8179999999998</v>
          </cell>
        </row>
        <row r="16">
          <cell r="O16">
            <v>2693.6531249999998</v>
          </cell>
        </row>
        <row r="18">
          <cell r="F18">
            <v>109.11</v>
          </cell>
        </row>
      </sheetData>
      <sheetData sheetId="4"/>
      <sheetData sheetId="5"/>
      <sheetData sheetId="6">
        <row r="5">
          <cell r="Q5">
            <v>55.942199999999957</v>
          </cell>
        </row>
        <row r="6">
          <cell r="Q6">
            <v>62.110499999999774</v>
          </cell>
        </row>
        <row r="7">
          <cell r="Q7">
            <v>68.278800000000274</v>
          </cell>
        </row>
        <row r="8">
          <cell r="Q8">
            <v>74.447099999999864</v>
          </cell>
        </row>
        <row r="9">
          <cell r="Q9">
            <v>80.615399999999909</v>
          </cell>
        </row>
        <row r="10">
          <cell r="Q10">
            <v>86.783699999999953</v>
          </cell>
        </row>
        <row r="11">
          <cell r="Q11">
            <v>92.952000000000226</v>
          </cell>
        </row>
        <row r="12">
          <cell r="Q12">
            <v>99.120299999999588</v>
          </cell>
        </row>
        <row r="13">
          <cell r="Q13">
            <v>105.28859999999941</v>
          </cell>
        </row>
        <row r="14">
          <cell r="Q14">
            <v>111.45689999999968</v>
          </cell>
        </row>
        <row r="15">
          <cell r="Q15">
            <v>117.6252000000004</v>
          </cell>
        </row>
        <row r="16">
          <cell r="Q16">
            <v>123.79350000000022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AB3A4-12CC-4E04-B2D6-DA386D8DA2EC}">
  <dimension ref="A1:V43"/>
  <sheetViews>
    <sheetView tabSelected="1" workbookViewId="0">
      <selection activeCell="G27" sqref="G27"/>
    </sheetView>
  </sheetViews>
  <sheetFormatPr baseColWidth="10" defaultRowHeight="15" x14ac:dyDescent="0.25"/>
  <cols>
    <col min="1" max="2" width="9.5703125" customWidth="1"/>
    <col min="3" max="3" width="9.28515625" customWidth="1"/>
    <col min="4" max="5" width="11.28515625" customWidth="1"/>
    <col min="6" max="6" width="10.5703125" customWidth="1"/>
    <col min="7" max="7" width="11.7109375" customWidth="1"/>
    <col min="8" max="8" width="8.42578125" customWidth="1"/>
    <col min="9" max="9" width="8.7109375" customWidth="1"/>
    <col min="10" max="10" width="9.42578125" customWidth="1"/>
    <col min="11" max="11" width="12.7109375" customWidth="1"/>
    <col min="12" max="13" width="13" customWidth="1"/>
    <col min="14" max="14" width="12.42578125" customWidth="1"/>
    <col min="15" max="15" width="13.28515625" customWidth="1"/>
    <col min="16" max="16" width="13.140625" customWidth="1"/>
    <col min="17" max="17" width="15.7109375" customWidth="1"/>
    <col min="20" max="20" width="15.28515625" customWidth="1"/>
  </cols>
  <sheetData>
    <row r="1" spans="1:22" ht="21.75" thickBot="1" x14ac:dyDescent="0.4">
      <c r="A1" t="s">
        <v>0</v>
      </c>
      <c r="C1" s="1"/>
      <c r="D1" s="2"/>
      <c r="F1" s="3" t="s">
        <v>1</v>
      </c>
    </row>
    <row r="2" spans="1:22" ht="15.75" thickBot="1" x14ac:dyDescent="0.3">
      <c r="O2" s="50" t="s">
        <v>2</v>
      </c>
      <c r="P2" s="51"/>
      <c r="R2" t="s">
        <v>3</v>
      </c>
    </row>
    <row r="3" spans="1:22" ht="15.75" thickBot="1" x14ac:dyDescent="0.3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10</v>
      </c>
      <c r="J3" s="6" t="s">
        <v>11</v>
      </c>
      <c r="K3" s="6" t="s">
        <v>5</v>
      </c>
      <c r="L3" s="6" t="s">
        <v>12</v>
      </c>
      <c r="M3" s="6" t="s">
        <v>13</v>
      </c>
      <c r="N3" s="6" t="s">
        <v>13</v>
      </c>
      <c r="O3" s="7" t="s">
        <v>14</v>
      </c>
      <c r="P3" s="7" t="s">
        <v>14</v>
      </c>
      <c r="Q3" s="8" t="s">
        <v>15</v>
      </c>
      <c r="R3" s="8" t="s">
        <v>16</v>
      </c>
      <c r="S3" s="8" t="s">
        <v>17</v>
      </c>
      <c r="T3" s="8" t="s">
        <v>18</v>
      </c>
    </row>
    <row r="4" spans="1:22" ht="15.75" thickBot="1" x14ac:dyDescent="0.3">
      <c r="A4" s="9"/>
      <c r="B4" s="9"/>
      <c r="C4" s="9"/>
      <c r="D4" s="9" t="s">
        <v>19</v>
      </c>
      <c r="E4" s="9" t="s">
        <v>19</v>
      </c>
      <c r="F4" s="9" t="s">
        <v>20</v>
      </c>
      <c r="G4" s="9"/>
      <c r="H4" s="10">
        <v>0.25</v>
      </c>
      <c r="I4" s="10">
        <v>0.4</v>
      </c>
      <c r="J4" s="11" t="s">
        <v>21</v>
      </c>
      <c r="K4" s="9" t="s">
        <v>8</v>
      </c>
      <c r="L4" s="9" t="s">
        <v>22</v>
      </c>
      <c r="M4" s="9" t="s">
        <v>23</v>
      </c>
      <c r="N4" s="9" t="s">
        <v>24</v>
      </c>
      <c r="O4" s="12" t="s">
        <v>23</v>
      </c>
      <c r="P4" s="12" t="s">
        <v>24</v>
      </c>
      <c r="Q4" s="13" t="s">
        <v>25</v>
      </c>
      <c r="R4" s="13" t="s">
        <v>26</v>
      </c>
      <c r="S4" s="13" t="s">
        <v>27</v>
      </c>
      <c r="T4" s="13" t="s">
        <v>28</v>
      </c>
    </row>
    <row r="5" spans="1:22" ht="15.75" thickBot="1" x14ac:dyDescent="0.3">
      <c r="A5" s="14">
        <v>7.5</v>
      </c>
      <c r="B5" s="15">
        <v>0</v>
      </c>
      <c r="C5" s="14">
        <f t="shared" ref="C5:C16" si="0">(24-A5)</f>
        <v>16.5</v>
      </c>
      <c r="D5" s="16">
        <f t="shared" ref="D5" si="1">$F$19*A5</f>
        <v>865.57499999999993</v>
      </c>
      <c r="E5" s="16">
        <f t="shared" ref="E5:E16" si="2">B5*$F$19</f>
        <v>0</v>
      </c>
      <c r="F5" s="16"/>
      <c r="G5" s="16">
        <f t="shared" ref="G5:G15" si="3">$F$25*A5</f>
        <v>67.5</v>
      </c>
      <c r="H5" s="15">
        <v>0</v>
      </c>
      <c r="I5" s="15">
        <v>0</v>
      </c>
      <c r="J5" s="16">
        <f>($F$20*H5)+(I5*F21)</f>
        <v>0</v>
      </c>
      <c r="K5" s="16"/>
      <c r="L5" s="16">
        <f t="shared" ref="L5:L15" si="4">$F$22*C5</f>
        <v>818.83394999999996</v>
      </c>
      <c r="M5" s="16">
        <f>O5/(A5+B5)</f>
        <v>224.58786000000001</v>
      </c>
      <c r="N5" s="17">
        <f>P5/A5</f>
        <v>233.58786000000001</v>
      </c>
      <c r="O5" s="18">
        <f>(D5)+(L5)+J5+F5+K5+E5</f>
        <v>1684.40895</v>
      </c>
      <c r="P5" s="19">
        <f>O5+G5</f>
        <v>1751.90895</v>
      </c>
      <c r="Q5" s="20">
        <f>O5-'[1]Resultat 2019'!O5</f>
        <v>55.942199999999957</v>
      </c>
      <c r="R5" s="21">
        <f>O5/A5</f>
        <v>224.58786000000001</v>
      </c>
      <c r="S5" s="21">
        <f>Q5/A5</f>
        <v>7.458959999999994</v>
      </c>
      <c r="T5" s="22">
        <f>100/'[1]Resultat 2019'!O5*'[1]Resultat 2020'!Q5/100</f>
        <v>3.4352681748030751E-2</v>
      </c>
      <c r="V5" s="23"/>
    </row>
    <row r="6" spans="1:22" ht="15.75" thickBot="1" x14ac:dyDescent="0.3">
      <c r="A6" s="24">
        <v>8</v>
      </c>
      <c r="B6" s="25"/>
      <c r="C6" s="24">
        <f t="shared" si="0"/>
        <v>16</v>
      </c>
      <c r="D6" s="26">
        <f>($F$19*(A6-B6))</f>
        <v>923.28</v>
      </c>
      <c r="E6" s="26">
        <f>B6*$F$19</f>
        <v>0</v>
      </c>
      <c r="F6" s="26">
        <f>((A6-$A$5-B6)*$F$24)</f>
        <v>57.704999999999998</v>
      </c>
      <c r="G6" s="26">
        <f t="shared" si="3"/>
        <v>72</v>
      </c>
      <c r="H6" s="25">
        <v>0</v>
      </c>
      <c r="I6" s="25">
        <v>0</v>
      </c>
      <c r="J6" s="26">
        <f>($F$20*H6)+(I6*$F$22)</f>
        <v>0</v>
      </c>
      <c r="K6" s="26">
        <f t="shared" ref="K6:K15" si="5">(A6-$A$5-B6)*$F$23</f>
        <v>12.406575</v>
      </c>
      <c r="L6" s="26">
        <f>$F$22*C6</f>
        <v>794.02080000000001</v>
      </c>
      <c r="M6" s="26">
        <f>O6/A6</f>
        <v>223.42654687499999</v>
      </c>
      <c r="N6" s="27">
        <f>P6/A6</f>
        <v>232.42654687499999</v>
      </c>
      <c r="O6" s="18">
        <f>(D6)+(L6)+J6+F6+K6+E6</f>
        <v>1787.4123749999999</v>
      </c>
      <c r="P6" s="19">
        <f t="shared" ref="P6:P16" si="6">O6+G6</f>
        <v>1859.4123749999999</v>
      </c>
      <c r="Q6" s="28">
        <f>O6-'[1]Resultat 2019'!O6</f>
        <v>62.110499999999774</v>
      </c>
      <c r="R6" s="29">
        <f t="shared" ref="R6:R16" si="7">O6/A6</f>
        <v>223.42654687499999</v>
      </c>
      <c r="S6" s="29">
        <f>Q6/A6</f>
        <v>7.7638124999999718</v>
      </c>
      <c r="T6" s="22">
        <f>100/'[1]Resultat 2019'!O6*'[1]Resultat 2020'!Q6/100</f>
        <v>3.5999786993797696E-2</v>
      </c>
      <c r="V6" s="23"/>
    </row>
    <row r="7" spans="1:22" ht="15.75" thickBot="1" x14ac:dyDescent="0.3">
      <c r="A7" s="24">
        <v>8.5</v>
      </c>
      <c r="B7" s="25"/>
      <c r="C7" s="24">
        <f t="shared" si="0"/>
        <v>15.5</v>
      </c>
      <c r="D7" s="26">
        <f t="shared" ref="D7:D16" si="8">($F$19*(A7-B7))</f>
        <v>980.98500000000001</v>
      </c>
      <c r="E7" s="26">
        <f t="shared" si="2"/>
        <v>0</v>
      </c>
      <c r="F7" s="26">
        <f>((A7-$A$5-B7)*$F$24)</f>
        <v>115.41</v>
      </c>
      <c r="G7" s="26">
        <f t="shared" si="3"/>
        <v>76.5</v>
      </c>
      <c r="H7" s="25">
        <v>0</v>
      </c>
      <c r="I7" s="25">
        <v>0</v>
      </c>
      <c r="J7" s="26">
        <f t="shared" ref="J7:J16" si="9">($F$20*H7)+(I7*$F$22)</f>
        <v>0</v>
      </c>
      <c r="K7" s="26">
        <f t="shared" si="5"/>
        <v>24.81315</v>
      </c>
      <c r="L7" s="26">
        <f t="shared" si="4"/>
        <v>769.20765000000006</v>
      </c>
      <c r="M7" s="26">
        <f t="shared" ref="M7:M16" si="10">O7/A7</f>
        <v>222.40185882352941</v>
      </c>
      <c r="N7" s="27">
        <f t="shared" ref="N7:N16" si="11">P7/A7</f>
        <v>231.40185882352941</v>
      </c>
      <c r="O7" s="18">
        <f t="shared" ref="O7:O15" si="12">(D7)+(L7)+J7+F7+K7+E7</f>
        <v>1890.4158</v>
      </c>
      <c r="P7" s="19">
        <f>O7+G7</f>
        <v>1966.9158</v>
      </c>
      <c r="Q7" s="28">
        <f>O7-'[1]Resultat 2019'!O7</f>
        <v>68.278800000000274</v>
      </c>
      <c r="R7" s="29">
        <f t="shared" si="7"/>
        <v>222.40185882352941</v>
      </c>
      <c r="S7" s="29">
        <f t="shared" ref="S7:S16" si="13">Q7/A7</f>
        <v>8.0328000000000319</v>
      </c>
      <c r="T7" s="22">
        <f>100/'[1]Resultat 2019'!O7*'[1]Resultat 2020'!Q7/100</f>
        <v>3.7471825664041877E-2</v>
      </c>
      <c r="V7" s="23"/>
    </row>
    <row r="8" spans="1:22" ht="15.75" thickBot="1" x14ac:dyDescent="0.3">
      <c r="A8" s="24">
        <v>9</v>
      </c>
      <c r="B8" s="25"/>
      <c r="C8" s="24">
        <f t="shared" si="0"/>
        <v>15</v>
      </c>
      <c r="D8" s="26">
        <f t="shared" si="8"/>
        <v>1038.69</v>
      </c>
      <c r="E8" s="26">
        <f t="shared" si="2"/>
        <v>0</v>
      </c>
      <c r="F8" s="26">
        <f t="shared" ref="F8:F14" si="14">((A8-$A$5-B8)*$F$24)</f>
        <v>173.11500000000001</v>
      </c>
      <c r="G8" s="26">
        <f t="shared" si="3"/>
        <v>81</v>
      </c>
      <c r="H8" s="25">
        <v>0</v>
      </c>
      <c r="I8" s="25">
        <v>0</v>
      </c>
      <c r="J8" s="26">
        <f t="shared" si="9"/>
        <v>0</v>
      </c>
      <c r="K8" s="26">
        <f t="shared" si="5"/>
        <v>37.219724999999997</v>
      </c>
      <c r="L8" s="26">
        <f t="shared" si="4"/>
        <v>744.39449999999999</v>
      </c>
      <c r="M8" s="26">
        <f t="shared" si="10"/>
        <v>221.49102499999998</v>
      </c>
      <c r="N8" s="27">
        <f t="shared" si="11"/>
        <v>230.49102499999995</v>
      </c>
      <c r="O8" s="18">
        <f t="shared" si="12"/>
        <v>1993.4192249999999</v>
      </c>
      <c r="P8" s="19">
        <f t="shared" si="6"/>
        <v>2074.4192249999996</v>
      </c>
      <c r="Q8" s="28">
        <f>O8-'[1]Resultat 2019'!O8</f>
        <v>74.447099999999864</v>
      </c>
      <c r="R8" s="29">
        <f t="shared" si="7"/>
        <v>221.49102499999998</v>
      </c>
      <c r="S8" s="29">
        <f t="shared" si="13"/>
        <v>8.2718999999999845</v>
      </c>
      <c r="T8" s="22">
        <f>100/'[1]Resultat 2019'!O8*'[1]Resultat 2020'!Q8/100</f>
        <v>3.8795300374673165E-2</v>
      </c>
    </row>
    <row r="9" spans="1:22" ht="15.75" thickBot="1" x14ac:dyDescent="0.3">
      <c r="A9" s="24">
        <v>9.5</v>
      </c>
      <c r="B9" s="25"/>
      <c r="C9" s="24">
        <f t="shared" si="0"/>
        <v>14.5</v>
      </c>
      <c r="D9" s="26">
        <f t="shared" si="8"/>
        <v>1096.395</v>
      </c>
      <c r="E9" s="26">
        <f t="shared" si="2"/>
        <v>0</v>
      </c>
      <c r="F9" s="26">
        <f t="shared" si="14"/>
        <v>230.82</v>
      </c>
      <c r="G9" s="26">
        <f t="shared" si="3"/>
        <v>85.5</v>
      </c>
      <c r="H9" s="25">
        <v>0</v>
      </c>
      <c r="I9" s="25">
        <v>0</v>
      </c>
      <c r="J9" s="26">
        <f t="shared" si="9"/>
        <v>0</v>
      </c>
      <c r="K9" s="26">
        <f t="shared" si="5"/>
        <v>49.626300000000001</v>
      </c>
      <c r="L9" s="26">
        <f t="shared" si="4"/>
        <v>719.58135000000004</v>
      </c>
      <c r="M9" s="26">
        <f t="shared" si="10"/>
        <v>220.67606842105263</v>
      </c>
      <c r="N9" s="27">
        <f t="shared" si="11"/>
        <v>229.67606842105263</v>
      </c>
      <c r="O9" s="18">
        <f t="shared" si="12"/>
        <v>2096.42265</v>
      </c>
      <c r="P9" s="19">
        <f t="shared" si="6"/>
        <v>2181.92265</v>
      </c>
      <c r="Q9" s="28">
        <f>O9-'[1]Resultat 2019'!O9</f>
        <v>80.615399999999909</v>
      </c>
      <c r="R9" s="29">
        <f t="shared" si="7"/>
        <v>220.67606842105263</v>
      </c>
      <c r="S9" s="29">
        <f t="shared" si="13"/>
        <v>8.4858315789473586</v>
      </c>
      <c r="T9" s="22">
        <f>100/'[1]Resultat 2019'!O9*'[1]Resultat 2020'!Q9/100</f>
        <v>3.9991621222713582E-2</v>
      </c>
    </row>
    <row r="10" spans="1:22" ht="15.75" thickBot="1" x14ac:dyDescent="0.3">
      <c r="A10" s="24">
        <v>10</v>
      </c>
      <c r="B10" s="25"/>
      <c r="C10" s="24">
        <f t="shared" si="0"/>
        <v>14</v>
      </c>
      <c r="D10" s="26">
        <f t="shared" si="8"/>
        <v>1154.0999999999999</v>
      </c>
      <c r="E10" s="26">
        <f t="shared" si="2"/>
        <v>0</v>
      </c>
      <c r="F10" s="26">
        <f t="shared" si="14"/>
        <v>288.52499999999998</v>
      </c>
      <c r="G10" s="26">
        <f t="shared" si="3"/>
        <v>90</v>
      </c>
      <c r="H10" s="25">
        <v>0</v>
      </c>
      <c r="I10" s="25">
        <v>0</v>
      </c>
      <c r="J10" s="26">
        <f t="shared" si="9"/>
        <v>0</v>
      </c>
      <c r="K10" s="26">
        <f>(A10-$A$5-B10)*$F$23</f>
        <v>62.032875000000004</v>
      </c>
      <c r="L10" s="26">
        <f t="shared" si="4"/>
        <v>694.76819999999998</v>
      </c>
      <c r="M10" s="26">
        <f t="shared" si="10"/>
        <v>219.94260749999998</v>
      </c>
      <c r="N10" s="27">
        <f t="shared" si="11"/>
        <v>228.94260749999998</v>
      </c>
      <c r="O10" s="18">
        <f>(D10)+(L10)+J10+F10+K10+E10</f>
        <v>2199.4260749999999</v>
      </c>
      <c r="P10" s="19">
        <f t="shared" si="6"/>
        <v>2289.4260749999999</v>
      </c>
      <c r="Q10" s="28">
        <f>O10-'[1]Resultat 2019'!O10</f>
        <v>86.783699999999953</v>
      </c>
      <c r="R10" s="29">
        <f>O10/A10</f>
        <v>219.94260749999998</v>
      </c>
      <c r="S10" s="29">
        <f t="shared" si="13"/>
        <v>8.6783699999999957</v>
      </c>
      <c r="T10" s="22">
        <f>100/'[1]Resultat 2019'!O10*'[1]Resultat 2020'!Q10/100</f>
        <v>4.107827289036553E-2</v>
      </c>
    </row>
    <row r="11" spans="1:22" ht="15.75" thickBot="1" x14ac:dyDescent="0.3">
      <c r="A11" s="24">
        <v>10.5</v>
      </c>
      <c r="B11" s="25"/>
      <c r="C11" s="24">
        <f t="shared" si="0"/>
        <v>13.5</v>
      </c>
      <c r="D11" s="26">
        <f t="shared" si="8"/>
        <v>1211.8050000000001</v>
      </c>
      <c r="E11" s="26">
        <f t="shared" si="2"/>
        <v>0</v>
      </c>
      <c r="F11" s="26">
        <f t="shared" si="14"/>
        <v>346.23</v>
      </c>
      <c r="G11" s="26">
        <f t="shared" si="3"/>
        <v>94.5</v>
      </c>
      <c r="H11" s="25">
        <v>0</v>
      </c>
      <c r="I11" s="25">
        <v>0</v>
      </c>
      <c r="J11" s="26">
        <f t="shared" si="9"/>
        <v>0</v>
      </c>
      <c r="K11" s="26">
        <f t="shared" si="5"/>
        <v>74.439449999999994</v>
      </c>
      <c r="L11" s="26">
        <f t="shared" si="4"/>
        <v>669.95505000000003</v>
      </c>
      <c r="M11" s="26">
        <f t="shared" si="10"/>
        <v>219.27900000000002</v>
      </c>
      <c r="N11" s="27">
        <f t="shared" si="11"/>
        <v>228.27900000000002</v>
      </c>
      <c r="O11" s="18">
        <f>(D11)+(L11)+J11+F11+K11+E11</f>
        <v>2302.4295000000002</v>
      </c>
      <c r="P11" s="19">
        <f>O11+G11</f>
        <v>2396.9295000000002</v>
      </c>
      <c r="Q11" s="28">
        <f>O11-'[1]Resultat 2019'!O11</f>
        <v>92.952000000000226</v>
      </c>
      <c r="R11" s="29">
        <f t="shared" si="7"/>
        <v>219.27900000000002</v>
      </c>
      <c r="S11" s="29">
        <f t="shared" si="13"/>
        <v>8.8525714285714496</v>
      </c>
      <c r="T11" s="22">
        <f>100/'[1]Resultat 2019'!O11*'[1]Resultat 2020'!Q11/100</f>
        <v>4.2069674843939447E-2</v>
      </c>
    </row>
    <row r="12" spans="1:22" ht="15.75" thickBot="1" x14ac:dyDescent="0.3">
      <c r="A12" s="24">
        <v>11</v>
      </c>
      <c r="B12" s="25"/>
      <c r="C12" s="24">
        <f t="shared" si="0"/>
        <v>13</v>
      </c>
      <c r="D12" s="26">
        <f t="shared" si="8"/>
        <v>1269.51</v>
      </c>
      <c r="E12" s="26">
        <f t="shared" si="2"/>
        <v>0</v>
      </c>
      <c r="F12" s="26">
        <f t="shared" si="14"/>
        <v>403.935</v>
      </c>
      <c r="G12" s="26">
        <f t="shared" si="3"/>
        <v>99</v>
      </c>
      <c r="H12" s="25">
        <v>0</v>
      </c>
      <c r="I12" s="25">
        <v>0</v>
      </c>
      <c r="J12" s="26">
        <f t="shared" si="9"/>
        <v>0</v>
      </c>
      <c r="K12" s="26">
        <f t="shared" si="5"/>
        <v>86.846024999999997</v>
      </c>
      <c r="L12" s="26">
        <f t="shared" si="4"/>
        <v>645.14189999999996</v>
      </c>
      <c r="M12" s="26">
        <f t="shared" si="10"/>
        <v>218.67572045454543</v>
      </c>
      <c r="N12" s="27">
        <f t="shared" si="11"/>
        <v>227.67572045454543</v>
      </c>
      <c r="O12" s="18">
        <f t="shared" si="12"/>
        <v>2405.4329249999996</v>
      </c>
      <c r="P12" s="19">
        <f t="shared" si="6"/>
        <v>2504.4329249999996</v>
      </c>
      <c r="Q12" s="28">
        <f>O12-'[1]Resultat 2019'!O12</f>
        <v>99.120299999999588</v>
      </c>
      <c r="R12" s="29">
        <f t="shared" si="7"/>
        <v>218.67572045454543</v>
      </c>
      <c r="S12" s="29">
        <f t="shared" si="13"/>
        <v>9.0109363636363256</v>
      </c>
      <c r="T12" s="22">
        <f>100/'[1]Resultat 2019'!O12*'[1]Resultat 2020'!Q12/100</f>
        <v>4.2977824829797118E-2</v>
      </c>
    </row>
    <row r="13" spans="1:22" ht="15.75" thickBot="1" x14ac:dyDescent="0.3">
      <c r="A13" s="24">
        <v>11.5</v>
      </c>
      <c r="B13" s="25"/>
      <c r="C13" s="24">
        <f t="shared" si="0"/>
        <v>12.5</v>
      </c>
      <c r="D13" s="26">
        <f t="shared" si="8"/>
        <v>1327.2149999999999</v>
      </c>
      <c r="E13" s="26">
        <f t="shared" si="2"/>
        <v>0</v>
      </c>
      <c r="F13" s="26">
        <f t="shared" si="14"/>
        <v>461.64</v>
      </c>
      <c r="G13" s="26">
        <f t="shared" si="3"/>
        <v>103.5</v>
      </c>
      <c r="H13" s="25">
        <v>0</v>
      </c>
      <c r="I13" s="25">
        <v>0</v>
      </c>
      <c r="J13" s="26">
        <f t="shared" si="9"/>
        <v>0</v>
      </c>
      <c r="K13" s="26">
        <f t="shared" si="5"/>
        <v>99.252600000000001</v>
      </c>
      <c r="L13" s="26">
        <f t="shared" si="4"/>
        <v>620.32875000000001</v>
      </c>
      <c r="M13" s="26">
        <f t="shared" si="10"/>
        <v>218.12489999999997</v>
      </c>
      <c r="N13" s="27">
        <f t="shared" si="11"/>
        <v>227.12489999999997</v>
      </c>
      <c r="O13" s="18">
        <f t="shared" si="12"/>
        <v>2508.4363499999995</v>
      </c>
      <c r="P13" s="19">
        <f t="shared" si="6"/>
        <v>2611.9363499999995</v>
      </c>
      <c r="Q13" s="28">
        <f>O13-'[1]Resultat 2019'!O13</f>
        <v>105.28859999999941</v>
      </c>
      <c r="R13" s="29">
        <f t="shared" si="7"/>
        <v>218.12489999999997</v>
      </c>
      <c r="S13" s="29">
        <f t="shared" si="13"/>
        <v>9.1555304347825572</v>
      </c>
      <c r="T13" s="22">
        <f>100/'[1]Resultat 2019'!O13*'[1]Resultat 2020'!Q13/100</f>
        <v>4.3812786791823106E-2</v>
      </c>
    </row>
    <row r="14" spans="1:22" ht="15.75" thickBot="1" x14ac:dyDescent="0.3">
      <c r="A14" s="24">
        <v>12</v>
      </c>
      <c r="B14" s="25"/>
      <c r="C14" s="24">
        <f t="shared" si="0"/>
        <v>12</v>
      </c>
      <c r="D14" s="26">
        <f t="shared" si="8"/>
        <v>1384.92</v>
      </c>
      <c r="E14" s="26">
        <f t="shared" si="2"/>
        <v>0</v>
      </c>
      <c r="F14" s="26">
        <f t="shared" si="14"/>
        <v>519.34500000000003</v>
      </c>
      <c r="G14" s="26">
        <f t="shared" si="3"/>
        <v>108</v>
      </c>
      <c r="H14" s="25">
        <v>0</v>
      </c>
      <c r="I14" s="25">
        <v>0</v>
      </c>
      <c r="J14" s="26">
        <f t="shared" si="9"/>
        <v>0</v>
      </c>
      <c r="K14" s="26">
        <f t="shared" si="5"/>
        <v>111.659175</v>
      </c>
      <c r="L14" s="26">
        <f t="shared" si="4"/>
        <v>595.51559999999995</v>
      </c>
      <c r="M14" s="26">
        <f t="shared" si="10"/>
        <v>217.61998125</v>
      </c>
      <c r="N14" s="27">
        <f t="shared" si="11"/>
        <v>226.61998125</v>
      </c>
      <c r="O14" s="18">
        <f t="shared" si="12"/>
        <v>2611.4397749999998</v>
      </c>
      <c r="P14" s="19">
        <f>O14+G14</f>
        <v>2719.4397749999998</v>
      </c>
      <c r="Q14" s="28">
        <f>O14-'[1]Resultat 2019'!O14</f>
        <v>111.45689999999968</v>
      </c>
      <c r="R14" s="29">
        <f t="shared" si="7"/>
        <v>217.61998125</v>
      </c>
      <c r="S14" s="29">
        <f t="shared" si="13"/>
        <v>9.2880749999999725</v>
      </c>
      <c r="T14" s="22">
        <f>100/'[1]Resultat 2019'!O14*'[1]Resultat 2020'!Q14/100</f>
        <v>4.4583065393997819E-2</v>
      </c>
      <c r="V14" s="23"/>
    </row>
    <row r="15" spans="1:22" ht="15.75" thickBot="1" x14ac:dyDescent="0.3">
      <c r="A15" s="24">
        <v>12.5</v>
      </c>
      <c r="B15" s="25"/>
      <c r="C15" s="24">
        <f t="shared" si="0"/>
        <v>11.5</v>
      </c>
      <c r="D15" s="26">
        <f t="shared" si="8"/>
        <v>1442.625</v>
      </c>
      <c r="E15" s="26">
        <f t="shared" si="2"/>
        <v>0</v>
      </c>
      <c r="F15" s="26">
        <f>((A15-$A$5-B15)*$F$24)</f>
        <v>577.04999999999995</v>
      </c>
      <c r="G15" s="26">
        <f t="shared" si="3"/>
        <v>112.5</v>
      </c>
      <c r="H15" s="25">
        <v>0</v>
      </c>
      <c r="I15" s="25">
        <v>0</v>
      </c>
      <c r="J15" s="26">
        <f t="shared" si="9"/>
        <v>0</v>
      </c>
      <c r="K15" s="26">
        <f t="shared" si="5"/>
        <v>124.06575000000001</v>
      </c>
      <c r="L15" s="26">
        <f t="shared" si="4"/>
        <v>570.70245</v>
      </c>
      <c r="M15" s="26">
        <f t="shared" si="10"/>
        <v>217.15545600000002</v>
      </c>
      <c r="N15" s="27">
        <f t="shared" si="11"/>
        <v>226.15545600000002</v>
      </c>
      <c r="O15" s="18">
        <f t="shared" si="12"/>
        <v>2714.4432000000002</v>
      </c>
      <c r="P15" s="19">
        <f t="shared" si="6"/>
        <v>2826.9432000000002</v>
      </c>
      <c r="Q15" s="28">
        <f>O15-'[1]Resultat 2019'!O15</f>
        <v>117.6252000000004</v>
      </c>
      <c r="R15" s="21">
        <f t="shared" si="7"/>
        <v>217.15545600000002</v>
      </c>
      <c r="S15" s="29">
        <f t="shared" si="13"/>
        <v>9.4100160000000326</v>
      </c>
      <c r="T15" s="22">
        <f>100/'[1]Resultat 2019'!O15*'[1]Resultat 2020'!Q15/100</f>
        <v>4.5295896747481121E-2</v>
      </c>
      <c r="V15" s="23"/>
    </row>
    <row r="16" spans="1:22" ht="15.75" thickBot="1" x14ac:dyDescent="0.3">
      <c r="A16" s="24">
        <v>13</v>
      </c>
      <c r="B16" s="25"/>
      <c r="C16" s="24">
        <f t="shared" si="0"/>
        <v>11</v>
      </c>
      <c r="D16" s="26">
        <f t="shared" si="8"/>
        <v>1500.33</v>
      </c>
      <c r="E16" s="26">
        <f t="shared" si="2"/>
        <v>0</v>
      </c>
      <c r="F16" s="26">
        <f>((A16-$A$5-B16)*$F$24)</f>
        <v>634.755</v>
      </c>
      <c r="G16" s="26">
        <f>$F$25*A16</f>
        <v>117</v>
      </c>
      <c r="H16" s="25">
        <v>0</v>
      </c>
      <c r="I16" s="25">
        <v>0</v>
      </c>
      <c r="J16" s="26">
        <f t="shared" si="9"/>
        <v>0</v>
      </c>
      <c r="K16" s="26">
        <f>(A16-$A$5-B16)*$F$23</f>
        <v>136.47232500000001</v>
      </c>
      <c r="L16" s="26">
        <f>$F$22*C16</f>
        <v>545.88930000000005</v>
      </c>
      <c r="M16" s="26">
        <f t="shared" si="10"/>
        <v>216.72666346153846</v>
      </c>
      <c r="N16" s="27">
        <f t="shared" si="11"/>
        <v>225.72666346153846</v>
      </c>
      <c r="O16" s="18">
        <f>(D16)+(L16)+J16+F16+K16+E16</f>
        <v>2817.446625</v>
      </c>
      <c r="P16" s="30">
        <f t="shared" si="6"/>
        <v>2934.446625</v>
      </c>
      <c r="Q16" s="31">
        <f>O16-'[1]Resultat 2019'!O16</f>
        <v>123.79350000000022</v>
      </c>
      <c r="R16" s="32">
        <f t="shared" si="7"/>
        <v>216.72666346153846</v>
      </c>
      <c r="S16" s="33">
        <f t="shared" si="13"/>
        <v>9.5225769230769401</v>
      </c>
      <c r="T16" s="22">
        <f>100/'[1]Resultat 2019'!O16*'[1]Resultat 2020'!Q16/100</f>
        <v>4.5957476428966783E-2</v>
      </c>
    </row>
    <row r="17" spans="1:20" x14ac:dyDescent="0.25">
      <c r="L17" s="34"/>
      <c r="M17" s="23"/>
      <c r="O17" s="35"/>
      <c r="P17" s="36"/>
      <c r="Q17" s="37" t="s">
        <v>29</v>
      </c>
      <c r="R17" s="21">
        <f>SUM(R5:R16)/12</f>
        <v>220.00897398213883</v>
      </c>
      <c r="S17" s="38">
        <f>SUM(S5:S16)/12</f>
        <v>8.6609483524178845</v>
      </c>
      <c r="T17" s="23"/>
    </row>
    <row r="18" spans="1:20" x14ac:dyDescent="0.25">
      <c r="A18" s="39" t="s">
        <v>30</v>
      </c>
      <c r="B18" s="39"/>
      <c r="C18" s="39"/>
      <c r="D18" s="39"/>
      <c r="F18" s="40"/>
      <c r="G18" s="41">
        <f>F19-'[1]Resultat 2019'!F18</f>
        <v>6.2999999999999972</v>
      </c>
      <c r="J18" t="s">
        <v>31</v>
      </c>
    </row>
    <row r="19" spans="1:20" x14ac:dyDescent="0.25">
      <c r="A19" t="s">
        <v>32</v>
      </c>
      <c r="F19" s="40">
        <v>115.41</v>
      </c>
    </row>
    <row r="20" spans="1:20" x14ac:dyDescent="0.25">
      <c r="A20" t="s">
        <v>11</v>
      </c>
      <c r="D20" s="42">
        <v>0.25</v>
      </c>
      <c r="E20" s="42"/>
      <c r="F20" s="43">
        <f>F19*D20</f>
        <v>28.852499999999999</v>
      </c>
      <c r="H20" s="37"/>
      <c r="J20" t="s">
        <v>33</v>
      </c>
      <c r="O20" s="43">
        <f>F19</f>
        <v>115.41</v>
      </c>
      <c r="Q20" s="44"/>
      <c r="R20" s="44"/>
      <c r="S20" s="44"/>
    </row>
    <row r="21" spans="1:20" x14ac:dyDescent="0.25">
      <c r="A21" t="s">
        <v>10</v>
      </c>
      <c r="D21" s="42">
        <v>0.4</v>
      </c>
      <c r="F21" s="43">
        <f>F19*D21</f>
        <v>46.164000000000001</v>
      </c>
      <c r="J21" t="s">
        <v>34</v>
      </c>
      <c r="O21" s="43">
        <f>F24</f>
        <v>115.41</v>
      </c>
    </row>
    <row r="22" spans="1:20" ht="17.25" x14ac:dyDescent="0.4">
      <c r="A22" t="s">
        <v>35</v>
      </c>
      <c r="D22" s="45">
        <v>0.43</v>
      </c>
      <c r="E22" s="46"/>
      <c r="F22" s="43">
        <f>F19*D22</f>
        <v>49.626300000000001</v>
      </c>
      <c r="J22" t="s">
        <v>36</v>
      </c>
      <c r="O22" s="47">
        <f>F23</f>
        <v>24.81315</v>
      </c>
    </row>
    <row r="23" spans="1:20" x14ac:dyDescent="0.25">
      <c r="A23" t="s">
        <v>37</v>
      </c>
      <c r="D23" s="46"/>
      <c r="E23" s="46"/>
      <c r="F23" s="43">
        <f>F22/2</f>
        <v>24.81315</v>
      </c>
      <c r="O23" s="43"/>
    </row>
    <row r="24" spans="1:20" ht="17.25" x14ac:dyDescent="0.4">
      <c r="A24" t="s">
        <v>8</v>
      </c>
      <c r="F24" s="43">
        <f>F19</f>
        <v>115.41</v>
      </c>
      <c r="J24" t="s">
        <v>38</v>
      </c>
      <c r="O24" s="47">
        <f>SUM(O20:O23)</f>
        <v>255.63315</v>
      </c>
      <c r="Q24" s="44"/>
      <c r="R24" s="44"/>
      <c r="S24" s="44"/>
    </row>
    <row r="25" spans="1:20" x14ac:dyDescent="0.25">
      <c r="A25" t="s">
        <v>39</v>
      </c>
      <c r="F25" s="43">
        <v>9</v>
      </c>
    </row>
    <row r="26" spans="1:20" x14ac:dyDescent="0.25">
      <c r="F26" s="43"/>
    </row>
    <row r="27" spans="1:20" x14ac:dyDescent="0.25">
      <c r="F27" s="48"/>
      <c r="O27" s="1"/>
      <c r="P27" s="1"/>
      <c r="Q27" s="1"/>
      <c r="R27" s="1"/>
      <c r="S27" s="1"/>
    </row>
    <row r="28" spans="1:20" x14ac:dyDescent="0.25">
      <c r="E28" s="37"/>
      <c r="G28" s="37"/>
      <c r="H28" s="37"/>
      <c r="I28" s="37"/>
      <c r="O28" s="1"/>
      <c r="P28" s="1"/>
      <c r="Q28" s="1"/>
      <c r="R28" s="1"/>
      <c r="S28" s="1"/>
    </row>
    <row r="29" spans="1:20" x14ac:dyDescent="0.25">
      <c r="E29" s="37"/>
      <c r="G29" s="37"/>
    </row>
    <row r="30" spans="1:20" x14ac:dyDescent="0.25">
      <c r="F30" s="37"/>
      <c r="G30" s="37"/>
    </row>
    <row r="32" spans="1:20" x14ac:dyDescent="0.25">
      <c r="E32" s="23"/>
      <c r="G32" s="49"/>
    </row>
    <row r="33" spans="5:5" x14ac:dyDescent="0.25">
      <c r="E33" s="49"/>
    </row>
    <row r="34" spans="5:5" x14ac:dyDescent="0.25">
      <c r="E34" s="49"/>
    </row>
    <row r="35" spans="5:5" x14ac:dyDescent="0.25">
      <c r="E35" s="49"/>
    </row>
    <row r="36" spans="5:5" x14ac:dyDescent="0.25">
      <c r="E36" s="49"/>
    </row>
    <row r="37" spans="5:5" x14ac:dyDescent="0.25">
      <c r="E37" s="49"/>
    </row>
    <row r="38" spans="5:5" x14ac:dyDescent="0.25">
      <c r="E38" s="49"/>
    </row>
    <row r="39" spans="5:5" x14ac:dyDescent="0.25">
      <c r="E39" s="49"/>
    </row>
    <row r="40" spans="5:5" x14ac:dyDescent="0.25">
      <c r="E40" s="49"/>
    </row>
    <row r="41" spans="5:5" x14ac:dyDescent="0.25">
      <c r="E41" s="49"/>
    </row>
    <row r="42" spans="5:5" x14ac:dyDescent="0.25">
      <c r="E42" s="49"/>
    </row>
    <row r="43" spans="5:5" x14ac:dyDescent="0.25">
      <c r="E43" s="49"/>
    </row>
  </sheetData>
  <mergeCells count="1">
    <mergeCell ref="O2:P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Amalie Ersland Vestbø</dc:creator>
  <cp:lastModifiedBy>Amalie Ersland Vestbø</cp:lastModifiedBy>
  <dcterms:created xsi:type="dcterms:W3CDTF">2021-02-15T09:18:23Z</dcterms:created>
  <dcterms:modified xsi:type="dcterms:W3CDTF">2021-02-15T09:42:43Z</dcterms:modified>
</cp:coreProperties>
</file>