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a\Desktop\"/>
    </mc:Choice>
  </mc:AlternateContent>
  <bookViews>
    <workbookView xWindow="0" yWindow="0" windowWidth="20160" windowHeight="9045" tabRatio="599"/>
  </bookViews>
  <sheets>
    <sheet name="Eksport1422873738" sheetId="1" r:id="rId1"/>
    <sheet name="Ark3" sheetId="4" r:id="rId2"/>
    <sheet name="Ark2" sheetId="3" r:id="rId3"/>
    <sheet name="Ark1" sheetId="2" r:id="rId4"/>
    <sheet name="Ark4" sheetId="5" r:id="rId5"/>
  </sheets>
  <calcPr calcId="152511"/>
</workbook>
</file>

<file path=xl/calcChain.xml><?xml version="1.0" encoding="utf-8"?>
<calcChain xmlns="http://schemas.openxmlformats.org/spreadsheetml/2006/main">
  <c r="E199" i="1" l="1"/>
  <c r="E150" i="1"/>
  <c r="E8" i="1" l="1"/>
  <c r="E27" i="1"/>
  <c r="A113" i="1"/>
  <c r="B113" i="1"/>
  <c r="D113" i="1"/>
  <c r="E113" i="1"/>
  <c r="A47" i="1" l="1"/>
  <c r="B47" i="1"/>
  <c r="D47" i="1"/>
  <c r="E47" i="1"/>
  <c r="E158" i="1"/>
  <c r="D158" i="1"/>
  <c r="B158" i="1"/>
  <c r="A158" i="1"/>
  <c r="E13" i="1" l="1"/>
  <c r="D13" i="1"/>
  <c r="B13" i="1"/>
  <c r="A13" i="1"/>
  <c r="A25" i="1" l="1"/>
  <c r="B25" i="1"/>
  <c r="D25" i="1"/>
  <c r="E25" i="1"/>
  <c r="A22" i="1" l="1"/>
  <c r="B22" i="1"/>
  <c r="D22" i="1"/>
  <c r="E22" i="1"/>
  <c r="E130" i="1" l="1"/>
  <c r="D130" i="1"/>
  <c r="B130" i="1"/>
  <c r="A130" i="1"/>
  <c r="B118" i="1" l="1"/>
  <c r="D118" i="1"/>
  <c r="E118" i="1"/>
  <c r="E123" i="1" l="1"/>
  <c r="D123" i="1"/>
  <c r="B123" i="1"/>
  <c r="A123" i="1"/>
  <c r="E242" i="1" l="1"/>
  <c r="D242" i="1"/>
  <c r="B242" i="1"/>
  <c r="A242" i="1"/>
  <c r="E271" i="1" l="1"/>
  <c r="D271" i="1"/>
  <c r="B271" i="1"/>
  <c r="A271" i="1"/>
  <c r="A233" i="1"/>
  <c r="A232" i="1"/>
  <c r="A231" i="1"/>
  <c r="A230" i="1"/>
  <c r="A229" i="1"/>
  <c r="A228" i="1"/>
  <c r="A227" i="1"/>
  <c r="E233" i="1"/>
  <c r="E232" i="1"/>
  <c r="E231" i="1"/>
  <c r="E230" i="1"/>
  <c r="E229" i="1"/>
  <c r="E228" i="1"/>
  <c r="E227" i="1"/>
  <c r="A21" i="1"/>
  <c r="B21" i="1"/>
  <c r="D21" i="1"/>
  <c r="E21" i="1"/>
  <c r="E187" i="1" l="1"/>
  <c r="D187" i="1"/>
  <c r="B187" i="1"/>
  <c r="A187" i="1"/>
  <c r="E26" i="1" l="1"/>
  <c r="A72" i="1"/>
  <c r="B72" i="1"/>
  <c r="D72" i="1"/>
  <c r="E72" i="1"/>
  <c r="A181" i="1"/>
  <c r="A180" i="1"/>
  <c r="A179" i="1"/>
  <c r="A178" i="1"/>
  <c r="E126" i="1"/>
  <c r="D126" i="1"/>
  <c r="B126" i="1"/>
  <c r="A126" i="1"/>
  <c r="A31" i="1"/>
  <c r="B31" i="1"/>
  <c r="D31" i="1"/>
  <c r="E31" i="1"/>
  <c r="E184" i="1"/>
  <c r="D184" i="1"/>
  <c r="B184" i="1"/>
  <c r="A184" i="1"/>
  <c r="E190" i="1"/>
  <c r="D190" i="1"/>
  <c r="B190" i="1"/>
  <c r="A190" i="1"/>
  <c r="E145" i="1"/>
  <c r="D145" i="1"/>
  <c r="B145" i="1"/>
  <c r="A145" i="1"/>
  <c r="E173" i="1"/>
  <c r="D173" i="1"/>
  <c r="B173" i="1"/>
  <c r="A173" i="1"/>
  <c r="A15" i="1"/>
  <c r="B15" i="1"/>
  <c r="D15" i="1"/>
  <c r="E15" i="1"/>
  <c r="A17" i="1"/>
  <c r="B17" i="1"/>
  <c r="D17" i="1"/>
  <c r="E17" i="1"/>
  <c r="E252" i="1"/>
  <c r="D252" i="1"/>
  <c r="B252" i="1"/>
  <c r="A252" i="1"/>
  <c r="A75" i="1"/>
  <c r="B75" i="1"/>
  <c r="D75" i="1"/>
  <c r="E75" i="1"/>
  <c r="E129" i="1"/>
  <c r="D129" i="1"/>
  <c r="B129" i="1"/>
  <c r="A129" i="1"/>
  <c r="E192" i="1"/>
  <c r="D192" i="1"/>
  <c r="B192" i="1"/>
  <c r="A192" i="1"/>
  <c r="E109" i="1"/>
  <c r="D109" i="1"/>
  <c r="B109" i="1"/>
  <c r="A109" i="1"/>
  <c r="A70" i="1"/>
  <c r="A69" i="1"/>
  <c r="A68" i="1"/>
  <c r="A67" i="1"/>
  <c r="A66" i="1"/>
  <c r="A53" i="1"/>
  <c r="B53" i="1"/>
  <c r="D53" i="1"/>
  <c r="E53" i="1"/>
  <c r="E281" i="1"/>
  <c r="D281" i="1"/>
  <c r="B281" i="1"/>
  <c r="A281" i="1"/>
  <c r="A5" i="1"/>
  <c r="B5" i="1"/>
  <c r="D5" i="1"/>
  <c r="E5" i="1"/>
  <c r="A51" i="1" l="1"/>
  <c r="B51" i="1"/>
  <c r="D51" i="1"/>
  <c r="E51" i="1"/>
  <c r="E202" i="1"/>
  <c r="D202" i="1"/>
  <c r="B202" i="1"/>
  <c r="A202" i="1"/>
  <c r="E78" i="1" l="1"/>
  <c r="A64" i="1" l="1"/>
  <c r="B64" i="1"/>
  <c r="D64" i="1"/>
  <c r="E64" i="1"/>
  <c r="E205" i="1"/>
  <c r="D205" i="1"/>
  <c r="B205" i="1"/>
  <c r="A205" i="1"/>
  <c r="E45" i="1" l="1"/>
  <c r="E278" i="1"/>
  <c r="E59" i="1"/>
  <c r="E44" i="1"/>
  <c r="E9" i="1"/>
  <c r="E103" i="1"/>
  <c r="E161" i="1"/>
  <c r="E135" i="1"/>
  <c r="D135" i="1"/>
  <c r="B135" i="1"/>
  <c r="A135" i="1"/>
  <c r="E234" i="1"/>
  <c r="D234" i="1"/>
  <c r="B234" i="1"/>
  <c r="A234" i="1"/>
  <c r="A87" i="1"/>
  <c r="B87" i="1"/>
  <c r="D87" i="1"/>
  <c r="E87" i="1"/>
  <c r="E291" i="1"/>
  <c r="D291" i="1"/>
  <c r="B291" i="1"/>
  <c r="A291" i="1"/>
  <c r="E159" i="1"/>
  <c r="E294" i="1"/>
  <c r="D294" i="1"/>
  <c r="B294" i="1"/>
  <c r="A294" i="1"/>
  <c r="A14" i="1"/>
  <c r="B14" i="1"/>
  <c r="D14" i="1"/>
  <c r="E14" i="1"/>
  <c r="A28" i="1"/>
  <c r="B28" i="1"/>
  <c r="D28" i="1"/>
  <c r="E28" i="1"/>
  <c r="E139" i="1"/>
  <c r="D139" i="1"/>
  <c r="B139" i="1"/>
  <c r="A54" i="1"/>
  <c r="B54" i="1"/>
  <c r="D54" i="1"/>
  <c r="E54" i="1"/>
  <c r="E143" i="1"/>
  <c r="D143" i="1"/>
  <c r="B143" i="1"/>
  <c r="A143" i="1"/>
  <c r="A7" i="1"/>
  <c r="B7" i="1"/>
  <c r="D7" i="1"/>
  <c r="E7" i="1"/>
  <c r="E181" i="1"/>
  <c r="E180" i="1"/>
  <c r="E179" i="1"/>
  <c r="E178" i="1"/>
  <c r="E177" i="1"/>
  <c r="D177" i="1"/>
  <c r="B177" i="1"/>
  <c r="A177" i="1"/>
  <c r="E248" i="1"/>
  <c r="D248" i="1"/>
  <c r="B248" i="1"/>
  <c r="A248" i="1"/>
  <c r="E256" i="1" l="1"/>
  <c r="D256" i="1"/>
  <c r="B256" i="1"/>
  <c r="A256" i="1"/>
  <c r="E244" i="1"/>
  <c r="D244" i="1"/>
  <c r="B244" i="1"/>
  <c r="A244" i="1"/>
  <c r="A20" i="1"/>
  <c r="B20" i="1"/>
  <c r="D20" i="1"/>
  <c r="E20" i="1"/>
  <c r="E277" i="1"/>
  <c r="E86" i="1"/>
  <c r="E164" i="1"/>
  <c r="D164" i="1"/>
  <c r="B164" i="1"/>
  <c r="A164" i="1"/>
  <c r="E258" i="1"/>
  <c r="D258" i="1"/>
  <c r="B258" i="1"/>
  <c r="A258" i="1"/>
  <c r="E155" i="1"/>
  <c r="D155" i="1"/>
  <c r="B155" i="1"/>
  <c r="A155" i="1"/>
  <c r="E94" i="1" l="1"/>
  <c r="D94" i="1"/>
  <c r="B94" i="1"/>
  <c r="A94" i="1"/>
  <c r="E191" i="1"/>
  <c r="D191" i="1"/>
  <c r="B191" i="1"/>
  <c r="A191" i="1"/>
  <c r="E82" i="1" l="1"/>
  <c r="E239" i="1"/>
  <c r="D239" i="1"/>
  <c r="B239" i="1"/>
  <c r="A239" i="1"/>
  <c r="E124" i="1"/>
  <c r="D124" i="1"/>
  <c r="B124" i="1"/>
  <c r="A124" i="1"/>
  <c r="E200" i="1" l="1"/>
  <c r="D200" i="1"/>
  <c r="B200" i="1"/>
  <c r="A200" i="1"/>
  <c r="E214" i="1"/>
  <c r="D214" i="1"/>
  <c r="B214" i="1"/>
  <c r="A214" i="1"/>
  <c r="E122" i="1" l="1"/>
  <c r="D122" i="1"/>
  <c r="B122" i="1"/>
  <c r="A122" i="1"/>
  <c r="E219" i="1" l="1"/>
  <c r="D219" i="1"/>
  <c r="B219" i="1"/>
  <c r="A219" i="1"/>
  <c r="A46" i="1"/>
  <c r="B46" i="1"/>
  <c r="D46" i="1"/>
  <c r="E46" i="1"/>
  <c r="E65" i="1"/>
  <c r="D65" i="1"/>
  <c r="B65" i="1"/>
  <c r="A65" i="1"/>
  <c r="E153" i="1" l="1"/>
  <c r="D153" i="1"/>
  <c r="B153" i="1"/>
  <c r="A153" i="1"/>
  <c r="E212" i="1"/>
  <c r="D212" i="1"/>
  <c r="B212" i="1"/>
  <c r="A212" i="1"/>
  <c r="E273" i="1"/>
  <c r="D273" i="1"/>
  <c r="B273" i="1"/>
  <c r="A273" i="1"/>
  <c r="E119" i="1"/>
  <c r="D119" i="1"/>
  <c r="B119" i="1"/>
  <c r="A119" i="1"/>
  <c r="A6" i="1" l="1"/>
  <c r="B6" i="1"/>
  <c r="D6" i="1"/>
  <c r="E6" i="1"/>
  <c r="E235" i="1" l="1"/>
  <c r="D235" i="1"/>
  <c r="B235" i="1"/>
  <c r="A235" i="1"/>
  <c r="E116" i="1"/>
  <c r="D116" i="1"/>
  <c r="B116" i="1"/>
  <c r="A116" i="1"/>
  <c r="A18" i="1" l="1"/>
  <c r="B18" i="1"/>
  <c r="D18" i="1"/>
  <c r="E18" i="1"/>
  <c r="E276" i="1" l="1"/>
  <c r="D276" i="1"/>
  <c r="B276" i="1"/>
  <c r="A276" i="1"/>
  <c r="E121" i="1"/>
  <c r="D121" i="1"/>
  <c r="B121" i="1"/>
  <c r="A121" i="1"/>
  <c r="E280" i="1"/>
  <c r="D280" i="1"/>
  <c r="B280" i="1"/>
  <c r="A280" i="1"/>
  <c r="E160" i="1"/>
  <c r="D160" i="1"/>
  <c r="B160" i="1"/>
  <c r="A160" i="1"/>
  <c r="A29" i="1"/>
  <c r="B29" i="1"/>
  <c r="D29" i="1"/>
  <c r="E29" i="1"/>
  <c r="D107" i="1" l="1"/>
  <c r="B107" i="1"/>
  <c r="A107" i="1"/>
  <c r="E110" i="1" l="1"/>
  <c r="D110" i="1"/>
  <c r="B110" i="1"/>
  <c r="A110" i="1"/>
  <c r="E270" i="1" l="1"/>
  <c r="D270" i="1"/>
  <c r="B270" i="1"/>
  <c r="A270" i="1"/>
  <c r="E105" i="1" l="1"/>
  <c r="D105" i="1"/>
  <c r="B105" i="1"/>
  <c r="A105" i="1"/>
  <c r="E141" i="1" l="1"/>
  <c r="E182" i="1"/>
  <c r="E162" i="1"/>
  <c r="E101" i="1" l="1"/>
  <c r="D101" i="1"/>
  <c r="B101" i="1"/>
  <c r="A101" i="1"/>
  <c r="E225" i="1" l="1"/>
  <c r="D225" i="1"/>
  <c r="B225" i="1"/>
  <c r="A225" i="1"/>
  <c r="E283" i="1"/>
  <c r="D283" i="1"/>
  <c r="B283" i="1"/>
  <c r="A283" i="1"/>
  <c r="E61" i="1"/>
  <c r="D61" i="1"/>
  <c r="B61" i="1"/>
  <c r="A61" i="1"/>
  <c r="E218" i="1"/>
  <c r="D218" i="1"/>
  <c r="B218" i="1"/>
  <c r="A218" i="1"/>
  <c r="A3" i="1"/>
  <c r="B3" i="1"/>
  <c r="D3" i="1"/>
  <c r="E3" i="1"/>
  <c r="E157" i="1"/>
  <c r="D157" i="1"/>
  <c r="B157" i="1"/>
  <c r="A157" i="1"/>
  <c r="E77" i="1"/>
  <c r="D77" i="1"/>
  <c r="B77" i="1"/>
  <c r="A77" i="1"/>
  <c r="A24" i="1" l="1"/>
  <c r="B24" i="1"/>
  <c r="D24" i="1"/>
  <c r="E24" i="1"/>
  <c r="E81" i="1"/>
  <c r="D81" i="1"/>
  <c r="B81" i="1"/>
  <c r="A81" i="1"/>
  <c r="E58" i="1" l="1"/>
  <c r="D58" i="1"/>
  <c r="B58" i="1"/>
  <c r="A58" i="1"/>
  <c r="E216" i="1"/>
  <c r="D216" i="1"/>
  <c r="B216" i="1"/>
  <c r="A216" i="1"/>
  <c r="E144" i="1" l="1"/>
  <c r="D144" i="1"/>
  <c r="B144" i="1"/>
  <c r="E79" i="1" l="1"/>
  <c r="D79" i="1"/>
  <c r="B79" i="1"/>
  <c r="A79" i="1"/>
  <c r="A16" i="1"/>
  <c r="B16" i="1"/>
  <c r="D16" i="1"/>
  <c r="E16" i="1"/>
  <c r="E206" i="1" l="1"/>
  <c r="D206" i="1"/>
  <c r="B206" i="1"/>
  <c r="A206" i="1"/>
  <c r="E163" i="1" l="1"/>
  <c r="D163" i="1"/>
  <c r="B163" i="1"/>
  <c r="A163" i="1"/>
  <c r="E290" i="1"/>
  <c r="D290" i="1"/>
  <c r="B290" i="1"/>
  <c r="A290" i="1"/>
  <c r="E148" i="1"/>
  <c r="D148" i="1"/>
  <c r="B148" i="1"/>
  <c r="A148" i="1"/>
  <c r="E264" i="1"/>
  <c r="D264" i="1"/>
  <c r="B264" i="1"/>
  <c r="A264" i="1"/>
  <c r="E165" i="1" l="1"/>
  <c r="D165" i="1"/>
  <c r="B165" i="1"/>
  <c r="A165" i="1"/>
  <c r="E246" i="1"/>
  <c r="D246" i="1"/>
  <c r="B246" i="1"/>
  <c r="A246" i="1"/>
  <c r="E133" i="1"/>
  <c r="D133" i="1"/>
  <c r="B133" i="1"/>
  <c r="A133" i="1"/>
  <c r="E197" i="1"/>
  <c r="D197" i="1"/>
  <c r="B197" i="1"/>
  <c r="A197" i="1"/>
  <c r="E266" i="1"/>
  <c r="D266" i="1"/>
  <c r="B266" i="1"/>
  <c r="A266" i="1"/>
  <c r="E295" i="1"/>
  <c r="D295" i="1"/>
  <c r="B295" i="1"/>
  <c r="A295" i="1"/>
  <c r="A12" i="1"/>
  <c r="B12" i="1"/>
  <c r="D12" i="1"/>
  <c r="E12" i="1"/>
  <c r="E236" i="1"/>
  <c r="D236" i="1"/>
  <c r="B236" i="1"/>
  <c r="A236" i="1"/>
  <c r="E185" i="1"/>
  <c r="D185" i="1"/>
  <c r="B185" i="1"/>
  <c r="A185" i="1"/>
  <c r="E275" i="1"/>
  <c r="D275" i="1"/>
  <c r="B275" i="1"/>
  <c r="A275" i="1"/>
  <c r="E93" i="1"/>
  <c r="D93" i="1"/>
  <c r="B93" i="1"/>
  <c r="A93" i="1"/>
  <c r="E261" i="1"/>
  <c r="E156" i="1"/>
  <c r="D156" i="1"/>
  <c r="B156" i="1"/>
  <c r="A156" i="1"/>
  <c r="E287" i="1"/>
  <c r="D287" i="1"/>
  <c r="B287" i="1"/>
  <c r="A287" i="1"/>
  <c r="E56" i="1"/>
  <c r="D56" i="1"/>
  <c r="B56" i="1"/>
  <c r="A56" i="1"/>
  <c r="E215" i="1"/>
  <c r="D215" i="1"/>
  <c r="B215" i="1"/>
  <c r="A215" i="1"/>
  <c r="A125" i="1"/>
  <c r="B125" i="1"/>
  <c r="D125" i="1"/>
  <c r="E125" i="1"/>
  <c r="E32" i="1" l="1"/>
  <c r="D32" i="1"/>
  <c r="B32" i="1"/>
  <c r="A32" i="1"/>
  <c r="E138" i="1" l="1"/>
  <c r="D138" i="1"/>
  <c r="B138" i="1"/>
  <c r="A138" i="1"/>
  <c r="E147" i="1" l="1"/>
  <c r="D147" i="1"/>
  <c r="B147" i="1"/>
  <c r="A147" i="1"/>
  <c r="E267" i="1" l="1"/>
  <c r="E241" i="1" l="1"/>
  <c r="D241" i="1"/>
  <c r="B241" i="1"/>
  <c r="A241" i="1"/>
  <c r="E43" i="1"/>
  <c r="D43" i="1"/>
  <c r="B43" i="1"/>
  <c r="A43" i="1"/>
  <c r="E201" i="1" l="1"/>
  <c r="D201" i="1"/>
  <c r="B201" i="1"/>
  <c r="A201" i="1"/>
  <c r="E90" i="1"/>
  <c r="D90" i="1"/>
  <c r="B90" i="1"/>
  <c r="A90" i="1"/>
  <c r="E211" i="1"/>
  <c r="D211" i="1"/>
  <c r="B211" i="1"/>
  <c r="A211" i="1"/>
  <c r="E240" i="1"/>
  <c r="D240" i="1"/>
  <c r="B240" i="1"/>
  <c r="A240" i="1"/>
  <c r="D150" i="1" l="1"/>
  <c r="B150" i="1"/>
  <c r="A150" i="1"/>
</calcChain>
</file>

<file path=xl/sharedStrings.xml><?xml version="1.0" encoding="utf-8"?>
<sst xmlns="http://schemas.openxmlformats.org/spreadsheetml/2006/main" count="447" uniqueCount="344">
  <si>
    <t>phone</t>
  </si>
  <si>
    <t>last_company</t>
  </si>
  <si>
    <t>Gro Fjeller</t>
  </si>
  <si>
    <t>Anne-Lise Granly</t>
  </si>
  <si>
    <t>Jill Laila Sætre</t>
  </si>
  <si>
    <t>Berit</t>
  </si>
  <si>
    <t>Ida</t>
  </si>
  <si>
    <t>Tommy Kristiansen</t>
  </si>
  <si>
    <t>Tina</t>
  </si>
  <si>
    <t>Yvonne Helene Kristiansen</t>
  </si>
  <si>
    <t>Jan Erik Bjørnstad</t>
  </si>
  <si>
    <t>m/ledsager</t>
  </si>
  <si>
    <t>Palfinger</t>
  </si>
  <si>
    <t>Kari Fritzvold Malones</t>
  </si>
  <si>
    <t>Nordea Finans</t>
  </si>
  <si>
    <t>Trond Olsen</t>
  </si>
  <si>
    <t>Jan Egil Sandstad</t>
  </si>
  <si>
    <t>Milan Keckes</t>
  </si>
  <si>
    <t>Dekkmann</t>
  </si>
  <si>
    <t>Erik Lillefoss</t>
  </si>
  <si>
    <t>Dag Nordvik</t>
  </si>
  <si>
    <t>Skab Norge AS</t>
  </si>
  <si>
    <t>If</t>
  </si>
  <si>
    <t>John Lauvstad</t>
  </si>
  <si>
    <t>Mirah Johannessen</t>
  </si>
  <si>
    <t>Würth</t>
  </si>
  <si>
    <t>Ola Østerud</t>
  </si>
  <si>
    <t>Bertel O. Steen Østfold</t>
  </si>
  <si>
    <t>Paul Magne Solstad</t>
  </si>
  <si>
    <t>Terje Hellerud</t>
  </si>
  <si>
    <t>Bjørn Bergkvist</t>
  </si>
  <si>
    <t>Bertel O. Steen Oslo/Akershus</t>
  </si>
  <si>
    <t>Helge Hovstø</t>
  </si>
  <si>
    <t>Kenneth Johannessen</t>
  </si>
  <si>
    <t>Termo King Norge</t>
  </si>
  <si>
    <t>Stein Julner</t>
  </si>
  <si>
    <t>Helge Stikbakke</t>
  </si>
  <si>
    <t>Flom</t>
  </si>
  <si>
    <t>Kari Loberg</t>
  </si>
  <si>
    <t>Marit Enerberg Slåttsveen</t>
  </si>
  <si>
    <t>Thomas Broström</t>
  </si>
  <si>
    <t>SÅ Värmland</t>
  </si>
  <si>
    <t>Malte Henriksson</t>
  </si>
  <si>
    <t>Karin Brit</t>
  </si>
  <si>
    <t>Christine Enghaug</t>
  </si>
  <si>
    <t>Gunnar Gundelach</t>
  </si>
  <si>
    <t>Torild</t>
  </si>
  <si>
    <t>Norsk Scania AS</t>
  </si>
  <si>
    <t>Rich. Steen AS</t>
  </si>
  <si>
    <t>Sverre Myrli</t>
  </si>
  <si>
    <t>AP</t>
  </si>
  <si>
    <t>Nina Wattum Haugen</t>
  </si>
  <si>
    <t>Anne Marie Sandvold</t>
  </si>
  <si>
    <t>Kari</t>
  </si>
  <si>
    <t>Eva</t>
  </si>
  <si>
    <t>Edith</t>
  </si>
  <si>
    <t>Thomas Myrvang</t>
  </si>
  <si>
    <t>Bertel O. Steen Hedmark/Oppland</t>
  </si>
  <si>
    <t>Bente Aastad Breisjøberg</t>
  </si>
  <si>
    <t>Thomas Stenberg</t>
  </si>
  <si>
    <t xml:space="preserve">Bente   </t>
  </si>
  <si>
    <t>Turid Hovland</t>
  </si>
  <si>
    <t>Anne Eng</t>
  </si>
  <si>
    <t>Elisabeth</t>
  </si>
  <si>
    <t>Åse</t>
  </si>
  <si>
    <t>Anne Lise</t>
  </si>
  <si>
    <t>Mona Skara</t>
  </si>
  <si>
    <t>Ingrid</t>
  </si>
  <si>
    <t>Guttorm Tysnes</t>
  </si>
  <si>
    <t>Elisabeth S. Gudmundsen</t>
  </si>
  <si>
    <t>Carina Ernstsen</t>
  </si>
  <si>
    <t>Telenor</t>
  </si>
  <si>
    <t>Jean Hansen</t>
  </si>
  <si>
    <t>Telehuset Askim</t>
  </si>
  <si>
    <t>Hans Jacob Ruud</t>
  </si>
  <si>
    <t>Marianne Ruud</t>
  </si>
  <si>
    <t>Telehuset Jessheim</t>
  </si>
  <si>
    <t>Fred Bjørke</t>
  </si>
  <si>
    <t>Gro</t>
  </si>
  <si>
    <t>Inger Hanssen</t>
  </si>
  <si>
    <t>Morten Jensen</t>
  </si>
  <si>
    <t>Bente Jensen</t>
  </si>
  <si>
    <t>Morten Maskin</t>
  </si>
  <si>
    <t>Erik Fagerholm</t>
  </si>
  <si>
    <t>Susann Endrestad</t>
  </si>
  <si>
    <t>Janne Leirvik</t>
  </si>
  <si>
    <t>Sandhaug Last AS</t>
  </si>
  <si>
    <t>Øivind Leirvik</t>
  </si>
  <si>
    <t>Jonas Ekholdt</t>
  </si>
  <si>
    <t>Tom Wiger</t>
  </si>
  <si>
    <t>Elin Solerød</t>
  </si>
  <si>
    <t>Per Øyvind Johansen</t>
  </si>
  <si>
    <t>Marit Kolstad</t>
  </si>
  <si>
    <t>Britt Meidell</t>
  </si>
  <si>
    <t>Jon Haugstuen</t>
  </si>
  <si>
    <t>Per Åge Utengen Kristiansen</t>
  </si>
  <si>
    <t>Tove Kalgård</t>
  </si>
  <si>
    <t>Tommy Nygaard</t>
  </si>
  <si>
    <t>Statoil</t>
  </si>
  <si>
    <t>Kjell Utne</t>
  </si>
  <si>
    <t>Monica Sundt Utne</t>
  </si>
  <si>
    <t>Marianne Riise Thorstad</t>
  </si>
  <si>
    <t>Roy Kristiansen</t>
  </si>
  <si>
    <t>Ole Kristian Steile Løkke</t>
  </si>
  <si>
    <t>Kjell Hammersborg</t>
  </si>
  <si>
    <t>Jan Lien</t>
  </si>
  <si>
    <t>Volvo Truck Center</t>
  </si>
  <si>
    <t>Anne Ingvaldsen</t>
  </si>
  <si>
    <t>Volmax Hedmark</t>
  </si>
  <si>
    <t>Hein Østgård</t>
  </si>
  <si>
    <t>Jan Kvernbekk</t>
  </si>
  <si>
    <t>Kenneth Karlsen</t>
  </si>
  <si>
    <t>Kari Mjønerud</t>
  </si>
  <si>
    <t>Marit Mork</t>
  </si>
  <si>
    <t>Hege Løkke</t>
  </si>
  <si>
    <t>Inger Johanne Eide Nicolaisen</t>
  </si>
  <si>
    <t>Elenora Belegu</t>
  </si>
  <si>
    <t>Vivian</t>
  </si>
  <si>
    <t>Hilde</t>
  </si>
  <si>
    <t>Christian Riise</t>
  </si>
  <si>
    <t xml:space="preserve">Nina  </t>
  </si>
  <si>
    <t>Marius Nøss</t>
  </si>
  <si>
    <t>Silje</t>
  </si>
  <si>
    <t>Maur</t>
  </si>
  <si>
    <t>Wenche</t>
  </si>
  <si>
    <t>Liselotte Petersen</t>
  </si>
  <si>
    <t>Nils Ivar Olstad</t>
  </si>
  <si>
    <t>Per Olav Holm</t>
  </si>
  <si>
    <t>Kjell Normann Olstad</t>
  </si>
  <si>
    <t>Øystein Lie</t>
  </si>
  <si>
    <t>Morten Nore</t>
  </si>
  <si>
    <t>Sven Arne Lilletvedt</t>
  </si>
  <si>
    <t>Aage Normann Nilsen</t>
  </si>
  <si>
    <t>Svein E. Alte</t>
  </si>
  <si>
    <t>Tove Skjæret Nilsen</t>
  </si>
  <si>
    <t>Annfried Alte</t>
  </si>
  <si>
    <t>TS-forum Norge</t>
  </si>
  <si>
    <t>Terje Høitomt</t>
  </si>
  <si>
    <t>Tor A. Aabol</t>
  </si>
  <si>
    <t xml:space="preserve">Volmax  </t>
  </si>
  <si>
    <t>May Britt Øyen</t>
  </si>
  <si>
    <t>Hilde Beritsveen</t>
  </si>
  <si>
    <t>Ingunn Leine Flom</t>
  </si>
  <si>
    <t>Anne Marit Fallet</t>
  </si>
  <si>
    <t>Else Helen</t>
  </si>
  <si>
    <t>Grethe Berit</t>
  </si>
  <si>
    <t>Marianne Halvorsen</t>
  </si>
  <si>
    <t>Anne Kristensen</t>
  </si>
  <si>
    <t>Geir Bakken</t>
  </si>
  <si>
    <t>Per Olav Myklebust</t>
  </si>
  <si>
    <t>Svein Erik Nilsen</t>
  </si>
  <si>
    <t>Guri Enerud</t>
  </si>
  <si>
    <t>Varoma</t>
  </si>
  <si>
    <t>Roar Petajamaa</t>
  </si>
  <si>
    <t>Volmax</t>
  </si>
  <si>
    <t>Scania</t>
  </si>
  <si>
    <t>Olav Vefald</t>
  </si>
  <si>
    <t>Regionsjef reg.3</t>
  </si>
  <si>
    <t>Opplæringskontoret</t>
  </si>
  <si>
    <t>Charles Galaasen</t>
  </si>
  <si>
    <t>Jan Ove Øyen</t>
  </si>
  <si>
    <t>Knut Willy Sørensen</t>
  </si>
  <si>
    <t>Opplæringskontoret for service og samferdsel</t>
  </si>
  <si>
    <t>Hallgeir Barkved</t>
  </si>
  <si>
    <t>Elling Haukebøe</t>
  </si>
  <si>
    <t>Odd Jacobsen</t>
  </si>
  <si>
    <t>Einar Løndal</t>
  </si>
  <si>
    <t>Kristian Warholm</t>
  </si>
  <si>
    <t>Odd Yndestad</t>
  </si>
  <si>
    <t>Harald Øvsthus</t>
  </si>
  <si>
    <t>Olav Hermansen</t>
  </si>
  <si>
    <t>Robert Aksnes</t>
  </si>
  <si>
    <t>Per Madsen</t>
  </si>
  <si>
    <t>Anne-Lise</t>
  </si>
  <si>
    <t>Geir A. Mo</t>
  </si>
  <si>
    <t>Lill Korsnes</t>
  </si>
  <si>
    <t>Regionsjef reg.2</t>
  </si>
  <si>
    <t>Jim Nybø</t>
  </si>
  <si>
    <t>Opplæringskontoret for Bil-og Transportfag</t>
  </si>
  <si>
    <t>Wenche Krog</t>
  </si>
  <si>
    <t>Hanne Bratteng Kaulum</t>
  </si>
  <si>
    <t>Oddbjørg</t>
  </si>
  <si>
    <t>Grethe  Helen</t>
  </si>
  <si>
    <t>Mona Stræte</t>
  </si>
  <si>
    <t>Ingebjørg Nicolaysen</t>
  </si>
  <si>
    <t>Per Arne Engeskaug</t>
  </si>
  <si>
    <t>Eli Olsbakk</t>
  </si>
  <si>
    <t>Nina</t>
  </si>
  <si>
    <t>Eli Høitomt</t>
  </si>
  <si>
    <t>Unni Hovland</t>
  </si>
  <si>
    <t>Vigdis Lindemark</t>
  </si>
  <si>
    <t>Nina Due Lindemark</t>
  </si>
  <si>
    <t>Hege Lindemark</t>
  </si>
  <si>
    <t>Klaus Arne Rådahl</t>
  </si>
  <si>
    <t>Håkon Rudland</t>
  </si>
  <si>
    <t>Morten Haraldsen</t>
  </si>
  <si>
    <t>Bekken og Strøm</t>
  </si>
  <si>
    <t>Kine Sofie Hjørnegård</t>
  </si>
  <si>
    <t>Bjørg Bekkevold</t>
  </si>
  <si>
    <t>Renate Henæs</t>
  </si>
  <si>
    <t>Henning Olafsen</t>
  </si>
  <si>
    <t>Gunn Inger Hagen</t>
  </si>
  <si>
    <t>Torgeir Hesthagen</t>
  </si>
  <si>
    <t xml:space="preserve">Elin </t>
  </si>
  <si>
    <t>Ragnhild Hansen</t>
  </si>
  <si>
    <t>Mette Kristine Andersen</t>
  </si>
  <si>
    <t>Hanna Ljosok</t>
  </si>
  <si>
    <t>Eli Wenche Solheim</t>
  </si>
  <si>
    <t>Kristi Olstad Haug</t>
  </si>
  <si>
    <t>Kjell Erik Slaggerud</t>
  </si>
  <si>
    <t>Ida Jenson</t>
  </si>
  <si>
    <t>Sally Hauger</t>
  </si>
  <si>
    <t>Astrid Nygårdshaug</t>
  </si>
  <si>
    <t>Leif Oskarsen</t>
  </si>
  <si>
    <t>Bjørg Oskarsen</t>
  </si>
  <si>
    <t>Kjersti Barstad</t>
  </si>
  <si>
    <t>Thordis</t>
  </si>
  <si>
    <t xml:space="preserve">Monica    </t>
  </si>
  <si>
    <t>Anne-Marie</t>
  </si>
  <si>
    <t>Leon Kneppen</t>
  </si>
  <si>
    <t>Ingrid og Pål Einar</t>
  </si>
  <si>
    <t xml:space="preserve">Jan Kåre Myhren </t>
  </si>
  <si>
    <t>Ann Kristin Kneppen</t>
  </si>
  <si>
    <t>Tommy Myran</t>
  </si>
  <si>
    <t>Dan Emil Berg</t>
  </si>
  <si>
    <t>Finn Midtsundstad</t>
  </si>
  <si>
    <t>Grethe</t>
  </si>
  <si>
    <t>Tove Høgberg</t>
  </si>
  <si>
    <t>Egil Høgberg</t>
  </si>
  <si>
    <t xml:space="preserve">Tove  </t>
  </si>
  <si>
    <t>Hans Ole Holum</t>
  </si>
  <si>
    <t>Knut Helge Grøtting</t>
  </si>
  <si>
    <t>Morstad Transport AS</t>
  </si>
  <si>
    <t>Kim Mangerud</t>
  </si>
  <si>
    <t>Kenneth Sundvoll</t>
  </si>
  <si>
    <t>Nordialog Hamar</t>
  </si>
  <si>
    <t>Per Steinar Brendløkken</t>
  </si>
  <si>
    <t>Opplæringskontoret Otta</t>
  </si>
  <si>
    <t>Nadia Tysse</t>
  </si>
  <si>
    <t>Nina Bækkelund</t>
  </si>
  <si>
    <t>Liv</t>
  </si>
  <si>
    <t>Ingvild Bylterud Strømnes</t>
  </si>
  <si>
    <t>Siri Lill</t>
  </si>
  <si>
    <t>Linn Veronica</t>
  </si>
  <si>
    <t>Else Karin</t>
  </si>
  <si>
    <t>Marit</t>
  </si>
  <si>
    <t>Autodata AS</t>
  </si>
  <si>
    <t>Reidun</t>
  </si>
  <si>
    <t>Thorbjørn Haug</t>
  </si>
  <si>
    <t>VBG</t>
  </si>
  <si>
    <t>Friskonomen</t>
  </si>
  <si>
    <t>Kran &amp; Hydraulikk</t>
  </si>
  <si>
    <t>Fartskriver</t>
  </si>
  <si>
    <t>J.Kristian Bjerke</t>
  </si>
  <si>
    <t>Line</t>
  </si>
  <si>
    <t>Bjørn Hansen</t>
  </si>
  <si>
    <t>Trailerpartner</t>
  </si>
  <si>
    <t>Grethe Dalbu</t>
  </si>
  <si>
    <t>Tom Cato Karlsen</t>
  </si>
  <si>
    <t>Randi Skaug</t>
  </si>
  <si>
    <t>Regionsjef reg.1</t>
  </si>
  <si>
    <t>Atle Jensen</t>
  </si>
  <si>
    <t>Lena Hedman</t>
  </si>
  <si>
    <t>Jeanett</t>
  </si>
  <si>
    <t>Tom Frydenlund</t>
  </si>
  <si>
    <t>Ingve Raad</t>
  </si>
  <si>
    <t>Øyvind Brodersen</t>
  </si>
  <si>
    <t>Claes Gripenberg</t>
  </si>
  <si>
    <t>Vidar Enderød</t>
  </si>
  <si>
    <t>Carl Henrik Huseby</t>
  </si>
  <si>
    <t>Karin</t>
  </si>
  <si>
    <t>Nils Olav Næss</t>
  </si>
  <si>
    <t>Jan Erik Finnerud</t>
  </si>
  <si>
    <t>Odd Kornstad</t>
  </si>
  <si>
    <t>Anne Ingeborg</t>
  </si>
  <si>
    <t>Verktøyspesialisten</t>
  </si>
  <si>
    <t>Kristine Grønneng</t>
  </si>
  <si>
    <t>Inger Sissel</t>
  </si>
  <si>
    <t>Pål Christian Dahlby</t>
  </si>
  <si>
    <t>Carl Fredrik Næss</t>
  </si>
  <si>
    <t>Tor Warhuus</t>
  </si>
  <si>
    <t>Stein Ove Hansen</t>
  </si>
  <si>
    <t>Eddie Wahl</t>
  </si>
  <si>
    <t>Catharina Bjerke</t>
  </si>
  <si>
    <t>John Erik Solberg</t>
  </si>
  <si>
    <t>Rune Vestengen</t>
  </si>
  <si>
    <t>Ketil Olafsen</t>
  </si>
  <si>
    <t>Roar Skogvoll</t>
  </si>
  <si>
    <t>Ståle Aas</t>
  </si>
  <si>
    <t>Lars Erik Thomassen</t>
  </si>
  <si>
    <t>Geir Arne Malones</t>
  </si>
  <si>
    <t>Morten Austad</t>
  </si>
  <si>
    <t>Brit Kihlberg Olsen</t>
  </si>
  <si>
    <t>Anne Mette Sjønnesen</t>
  </si>
  <si>
    <t>Jon Jevnaker</t>
  </si>
  <si>
    <t>Lene Merete Jevnaker</t>
  </si>
  <si>
    <t>MAN</t>
  </si>
  <si>
    <t>Bjørn Johan Haugen</t>
  </si>
  <si>
    <t>Svein Ove Vetrhus</t>
  </si>
  <si>
    <t>Transportkompetanse</t>
  </si>
  <si>
    <t>Knut Murstad</t>
  </si>
  <si>
    <t>Gro Rundtom</t>
  </si>
  <si>
    <t>Bård Trøhaugen</t>
  </si>
  <si>
    <t>Hurtigruta Carglass</t>
  </si>
  <si>
    <t>Alv Ervik</t>
  </si>
  <si>
    <t>Forbundsstyret</t>
  </si>
  <si>
    <t>Einar Endresen</t>
  </si>
  <si>
    <t>Fylkesleder Nordland</t>
  </si>
  <si>
    <t>Kari Workinn</t>
  </si>
  <si>
    <t>Fylkesleder Troms</t>
  </si>
  <si>
    <t>Yngve B. Harila</t>
  </si>
  <si>
    <t>Fylkesleder Finnmark</t>
  </si>
  <si>
    <t>Lillian Strøm</t>
  </si>
  <si>
    <t>Mette Kjensmo</t>
  </si>
  <si>
    <t>Hanne Bekkevold</t>
  </si>
  <si>
    <t>Jan Erik Veslum</t>
  </si>
  <si>
    <t>Svein Ove Sandberg</t>
  </si>
  <si>
    <t>Petter Erdem</t>
  </si>
  <si>
    <t>Thomas Nyland</t>
  </si>
  <si>
    <t>Jan Flaskerud</t>
  </si>
  <si>
    <t>Valdrestømmer AS</t>
  </si>
  <si>
    <t>Ann-Christin Stokkebekk</t>
  </si>
  <si>
    <t>Victoria Ringen</t>
  </si>
  <si>
    <t>Jan Syljuberget</t>
  </si>
  <si>
    <t>Bård Reitan</t>
  </si>
  <si>
    <t>Kirsti</t>
  </si>
  <si>
    <t>Beate</t>
  </si>
  <si>
    <t>Roy Dahle</t>
  </si>
  <si>
    <t>Greta Juhl</t>
  </si>
  <si>
    <t>Aina</t>
  </si>
  <si>
    <t>Vera</t>
  </si>
  <si>
    <t>Bjørn Holmgren</t>
  </si>
  <si>
    <t>Anders Vestengen</t>
  </si>
  <si>
    <t>Kjell Olafsrud</t>
  </si>
  <si>
    <t>Tone</t>
  </si>
  <si>
    <t>NLF</t>
  </si>
  <si>
    <t>Tore Bendiksen</t>
  </si>
  <si>
    <t>Ann-Kristin Smestadmoen</t>
  </si>
  <si>
    <t>Erling Smestadmoen</t>
  </si>
  <si>
    <t>Frode Bålsrød</t>
  </si>
  <si>
    <t>Bjørg Smestadmoen</t>
  </si>
  <si>
    <t>Navn</t>
  </si>
  <si>
    <t>Ledsager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</si>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</sst>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ont="1"/>
    <xf numFmtId="0" fontId="18" fillId="0" borderId="0" xfId="0" applyFont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24.7109375" customWidth="1"/>
    <col min="2" max="2" width="11.5703125" hidden="1" customWidth="1"/>
    <col min="3" max="3" width="26" customWidth="1"/>
    <col min="4" max="4" width="2.7109375" hidden="1" customWidth="1"/>
    <col min="5" max="5" width="19.7109375" customWidth="1"/>
  </cols>
  <sheetData>
    <row r="1" spans="1:6" ht="18.75" x14ac:dyDescent="0.3">
      <c r="A1" s="2" t="s">
        <v>341</v>
      </c>
      <c r="B1" s="2" t="s">
        <v>0</v>
      </c>
      <c r="C1" s="2" t="s">
        <v>342</v>
      </c>
      <c r="D1" s="2" t="s">
        <v>1</v>
      </c>
      <c r="E1" s="2" t="s">
        <v>343</v>
      </c>
      <c r="F1" s="2"/>
    </row>
    <row r="2" spans="1:6" x14ac:dyDescent="0.25">
      <c r="A2" s="1" t="s">
        <v>132</v>
      </c>
      <c r="B2" s="1"/>
      <c r="C2" s="1" t="s">
        <v>134</v>
      </c>
      <c r="D2" s="1"/>
      <c r="E2" s="1" t="s">
        <v>136</v>
      </c>
    </row>
    <row r="3" spans="1:6" x14ac:dyDescent="0.25">
      <c r="A3" s="1" t="str">
        <f>"Alexander Nicolaysen"</f>
        <v>Alexander Nicolaysen</v>
      </c>
      <c r="B3" s="1" t="str">
        <f>""</f>
        <v/>
      </c>
      <c r="C3" s="1" t="s">
        <v>114</v>
      </c>
      <c r="D3" s="1" t="str">
        <f>"0"</f>
        <v>0</v>
      </c>
      <c r="E3" s="1" t="str">
        <f>""</f>
        <v/>
      </c>
    </row>
    <row r="4" spans="1:6" x14ac:dyDescent="0.25">
      <c r="A4" s="1" t="s">
        <v>304</v>
      </c>
      <c r="B4" s="1"/>
      <c r="C4" s="1" t="s">
        <v>11</v>
      </c>
      <c r="D4" s="1"/>
      <c r="E4" s="1" t="s">
        <v>305</v>
      </c>
    </row>
    <row r="5" spans="1:6" x14ac:dyDescent="0.25">
      <c r="A5" s="1" t="str">
        <f>"Amund Langøien"</f>
        <v>Amund Langøien</v>
      </c>
      <c r="B5" s="1" t="str">
        <f>""</f>
        <v/>
      </c>
      <c r="C5" s="1" t="s">
        <v>238</v>
      </c>
      <c r="D5" s="1" t="str">
        <f>"200643"</f>
        <v>200643</v>
      </c>
      <c r="E5" s="1" t="str">
        <f>"Langøien Grus og Transport AS"</f>
        <v>Langøien Grus og Transport AS</v>
      </c>
    </row>
    <row r="6" spans="1:6" x14ac:dyDescent="0.25">
      <c r="A6" s="1" t="str">
        <f>"Anders Krog"</f>
        <v>Anders Krog</v>
      </c>
      <c r="B6" s="1" t="str">
        <f>"69156170"</f>
        <v>69156170</v>
      </c>
      <c r="C6" s="1" t="s">
        <v>179</v>
      </c>
      <c r="D6" s="1" t="str">
        <f>"202152"</f>
        <v>202152</v>
      </c>
      <c r="E6" s="1" t="str">
        <f>"Krog Anders"</f>
        <v>Krog Anders</v>
      </c>
    </row>
    <row r="7" spans="1:6" x14ac:dyDescent="0.25">
      <c r="A7" s="1" t="str">
        <f>"Anders Nygård"</f>
        <v>Anders Nygård</v>
      </c>
      <c r="B7" s="1" t="str">
        <f>""</f>
        <v/>
      </c>
      <c r="C7" s="1"/>
      <c r="D7" s="1" t="str">
        <f>"208806"</f>
        <v>208806</v>
      </c>
      <c r="E7" s="1" t="str">
        <f>"Nygård Anders Transport AS"</f>
        <v>Nygård Anders Transport AS</v>
      </c>
    </row>
    <row r="8" spans="1:6" x14ac:dyDescent="0.25">
      <c r="A8" s="1" t="s">
        <v>332</v>
      </c>
      <c r="B8" s="1"/>
      <c r="C8" s="1"/>
      <c r="D8" s="1"/>
      <c r="E8" s="1" t="str">
        <f>"Mago Johan Transport"</f>
        <v>Mago Johan Transport</v>
      </c>
    </row>
    <row r="9" spans="1:6" x14ac:dyDescent="0.25">
      <c r="A9" s="1" t="s">
        <v>222</v>
      </c>
      <c r="B9" s="1"/>
      <c r="C9" s="1" t="s">
        <v>223</v>
      </c>
      <c r="D9" s="1"/>
      <c r="E9" s="1" t="str">
        <f>"Kneppen Transport AS"</f>
        <v>Kneppen Transport AS</v>
      </c>
    </row>
    <row r="10" spans="1:6" x14ac:dyDescent="0.25">
      <c r="A10" s="1" t="s">
        <v>321</v>
      </c>
      <c r="B10" s="1"/>
      <c r="C10" s="1"/>
      <c r="D10" s="1"/>
      <c r="E10" s="1" t="s">
        <v>252</v>
      </c>
    </row>
    <row r="11" spans="1:6" x14ac:dyDescent="0.25">
      <c r="A11" s="1" t="s">
        <v>337</v>
      </c>
      <c r="B11" s="1"/>
      <c r="C11" s="1" t="s">
        <v>339</v>
      </c>
      <c r="D11" s="1"/>
      <c r="E11" s="1" t="s">
        <v>256</v>
      </c>
    </row>
    <row r="12" spans="1:6" x14ac:dyDescent="0.25">
      <c r="A12" s="1" t="str">
        <f>"Arild Olsbakk"</f>
        <v>Arild Olsbakk</v>
      </c>
      <c r="B12" s="1" t="str">
        <f>"62463215"</f>
        <v>62463215</v>
      </c>
      <c r="C12" s="1" t="s">
        <v>63</v>
      </c>
      <c r="D12" s="1" t="str">
        <f>"201362"</f>
        <v>201362</v>
      </c>
      <c r="E12" s="1" t="str">
        <f>"Olsbakk Arne Transport AS"</f>
        <v>Olsbakk Arne Transport AS</v>
      </c>
    </row>
    <row r="13" spans="1:6" x14ac:dyDescent="0.25">
      <c r="A13" s="1" t="str">
        <f>"Arne Bekkevold"</f>
        <v>Arne Bekkevold</v>
      </c>
      <c r="B13" s="1" t="str">
        <f>"67074072"</f>
        <v>67074072</v>
      </c>
      <c r="C13" s="1" t="s">
        <v>314</v>
      </c>
      <c r="D13" s="1" t="str">
        <f>"200949"</f>
        <v>200949</v>
      </c>
      <c r="E13" s="1" t="str">
        <f>"Bekkevold Arne"</f>
        <v>Bekkevold Arne</v>
      </c>
    </row>
    <row r="14" spans="1:6" x14ac:dyDescent="0.25">
      <c r="A14" s="1" t="str">
        <f>"Arne Hauger"</f>
        <v>Arne Hauger</v>
      </c>
      <c r="B14" s="1" t="str">
        <f>""</f>
        <v/>
      </c>
      <c r="C14" s="1" t="s">
        <v>211</v>
      </c>
      <c r="D14" s="1" t="str">
        <f>"202733"</f>
        <v>202733</v>
      </c>
      <c r="E14" s="1" t="str">
        <f>"Hauger Transport"</f>
        <v>Hauger Transport</v>
      </c>
    </row>
    <row r="15" spans="1:6" x14ac:dyDescent="0.25">
      <c r="A15" s="1" t="str">
        <f>"Arne Olav Velten"</f>
        <v>Arne Olav Velten</v>
      </c>
      <c r="B15" s="1" t="str">
        <f>"62413011"</f>
        <v>62413011</v>
      </c>
      <c r="C15" s="1" t="s">
        <v>242</v>
      </c>
      <c r="D15" s="1" t="str">
        <f>"203019"</f>
        <v>203019</v>
      </c>
      <c r="E15" s="1" t="str">
        <f>"Velten Tore"</f>
        <v>Velten Tore</v>
      </c>
    </row>
    <row r="16" spans="1:6" x14ac:dyDescent="0.25">
      <c r="A16" s="1" t="str">
        <f>"Arnfinn Haugen"</f>
        <v>Arnfinn Haugen</v>
      </c>
      <c r="B16" s="1" t="str">
        <f>"62367829"</f>
        <v>62367829</v>
      </c>
      <c r="C16" s="1" t="s">
        <v>92</v>
      </c>
      <c r="D16" s="1" t="str">
        <f>"201352"</f>
        <v>201352</v>
      </c>
      <c r="E16" s="1" t="str">
        <f>"Haugen Arnfinn"</f>
        <v>Haugen Arnfinn</v>
      </c>
    </row>
    <row r="17" spans="1:5" x14ac:dyDescent="0.25">
      <c r="A17" s="1" t="str">
        <f>"Arvid Birkelund"</f>
        <v>Arvid Birkelund</v>
      </c>
      <c r="B17" s="1" t="str">
        <f>""</f>
        <v/>
      </c>
      <c r="C17" s="1"/>
      <c r="D17" s="1" t="str">
        <f>"208567"</f>
        <v>208567</v>
      </c>
      <c r="E17" s="1" t="str">
        <f>"Transportør1 AS"</f>
        <v>Transportør1 AS</v>
      </c>
    </row>
    <row r="18" spans="1:5" x14ac:dyDescent="0.25">
      <c r="A18" s="1" t="str">
        <f>"Asle Raade"</f>
        <v>Asle Raade</v>
      </c>
      <c r="B18" s="1" t="str">
        <f>"61337466"</f>
        <v>61337466</v>
      </c>
      <c r="C18" s="1" t="s">
        <v>151</v>
      </c>
      <c r="D18" s="1" t="str">
        <f>"200689"</f>
        <v>200689</v>
      </c>
      <c r="E18" s="1" t="str">
        <f>"R-Transport AS"</f>
        <v>R-Transport AS</v>
      </c>
    </row>
    <row r="19" spans="1:5" x14ac:dyDescent="0.25">
      <c r="A19" s="1" t="s">
        <v>261</v>
      </c>
      <c r="B19" s="1"/>
      <c r="C19" s="1" t="s">
        <v>263</v>
      </c>
      <c r="D19" s="1"/>
      <c r="E19" s="1"/>
    </row>
    <row r="20" spans="1:5" x14ac:dyDescent="0.25">
      <c r="A20" s="1" t="str">
        <f>"Bent Are Remme"</f>
        <v>Bent Are Remme</v>
      </c>
      <c r="B20" s="1" t="str">
        <f>"40670406"</f>
        <v>40670406</v>
      </c>
      <c r="C20" s="1" t="s">
        <v>204</v>
      </c>
      <c r="D20" s="1" t="str">
        <f>"209063"</f>
        <v>209063</v>
      </c>
      <c r="E20" s="1" t="str">
        <f>"Blitz Transport Norge"</f>
        <v>Blitz Transport Norge</v>
      </c>
    </row>
    <row r="21" spans="1:5" x14ac:dyDescent="0.25">
      <c r="A21" s="1" t="str">
        <f>"Bjarne Holt"</f>
        <v>Bjarne Holt</v>
      </c>
      <c r="B21" s="1" t="str">
        <f>"63986179"</f>
        <v>63986179</v>
      </c>
      <c r="C21" s="1"/>
      <c r="D21" s="1" t="str">
        <f>"202640"</f>
        <v>202640</v>
      </c>
      <c r="E21" s="1" t="str">
        <f>"Selje Transport AS"</f>
        <v>Selje Transport AS</v>
      </c>
    </row>
    <row r="22" spans="1:5" x14ac:dyDescent="0.25">
      <c r="A22" s="1" t="str">
        <f>"Bjørn Are Strøm"</f>
        <v>Bjørn Are Strøm</v>
      </c>
      <c r="B22" s="1" t="str">
        <f>"62344883"</f>
        <v>62344883</v>
      </c>
      <c r="C22" s="1" t="s">
        <v>312</v>
      </c>
      <c r="D22" s="1" t="str">
        <f>"208659"</f>
        <v>208659</v>
      </c>
      <c r="E22" s="1" t="str">
        <f>"Strøm Bjørn Are AS"</f>
        <v>Strøm Bjørn Are AS</v>
      </c>
    </row>
    <row r="23" spans="1:5" x14ac:dyDescent="0.25">
      <c r="A23" s="1" t="s">
        <v>30</v>
      </c>
      <c r="B23" s="1"/>
      <c r="C23" s="1"/>
      <c r="D23" s="1"/>
      <c r="E23" s="1" t="s">
        <v>57</v>
      </c>
    </row>
    <row r="24" spans="1:5" x14ac:dyDescent="0.25">
      <c r="A24" s="1" t="str">
        <f>"Bjørn Eigil Mork"</f>
        <v>Bjørn Eigil Mork</v>
      </c>
      <c r="B24" s="1" t="str">
        <f>""</f>
        <v/>
      </c>
      <c r="C24" s="1" t="s">
        <v>113</v>
      </c>
      <c r="D24" s="1" t="str">
        <f>"200977"</f>
        <v>200977</v>
      </c>
      <c r="E24" s="1" t="str">
        <f>"Mork Transport AS"</f>
        <v>Mork Transport AS</v>
      </c>
    </row>
    <row r="25" spans="1:5" x14ac:dyDescent="0.25">
      <c r="A25" s="1" t="str">
        <f>"Bjørn Erik Lie"</f>
        <v>Bjørn Erik Lie</v>
      </c>
      <c r="B25" s="1" t="str">
        <f>"62958631"</f>
        <v>62958631</v>
      </c>
      <c r="C25" s="1" t="s">
        <v>313</v>
      </c>
      <c r="D25" s="1" t="str">
        <f>"201358"</f>
        <v>201358</v>
      </c>
      <c r="E25" s="1" t="str">
        <f>"Lie Transport AS"</f>
        <v>Lie Transport AS</v>
      </c>
    </row>
    <row r="26" spans="1:5" x14ac:dyDescent="0.25">
      <c r="A26" s="1" t="s">
        <v>255</v>
      </c>
      <c r="B26" s="1"/>
      <c r="C26" s="1" t="s">
        <v>301</v>
      </c>
      <c r="D26" s="1"/>
      <c r="E26" s="1" t="str">
        <f>"Lunder AS"</f>
        <v>Lunder AS</v>
      </c>
    </row>
    <row r="27" spans="1:5" x14ac:dyDescent="0.25">
      <c r="A27" s="1" t="s">
        <v>331</v>
      </c>
      <c r="B27" s="1"/>
      <c r="C27" s="1"/>
      <c r="D27" s="1"/>
      <c r="E27" s="1" t="str">
        <f>"Mago Johan Transport"</f>
        <v>Mago Johan Transport</v>
      </c>
    </row>
    <row r="28" spans="1:5" x14ac:dyDescent="0.25">
      <c r="A28" s="1" t="str">
        <f>"Bjørn Ivar Gunhildgard"</f>
        <v>Bjørn Ivar Gunhildgard</v>
      </c>
      <c r="B28" s="1" t="str">
        <f>""</f>
        <v/>
      </c>
      <c r="C28" s="1"/>
      <c r="D28" s="1" t="str">
        <f>"202394"</f>
        <v>202394</v>
      </c>
      <c r="E28" s="1" t="str">
        <f>"Fjellvang Transport AS"</f>
        <v>Fjellvang Transport AS</v>
      </c>
    </row>
    <row r="29" spans="1:5" x14ac:dyDescent="0.25">
      <c r="A29" s="1" t="str">
        <f>"Bjørn Johan Fallet"</f>
        <v>Bjørn Johan Fallet</v>
      </c>
      <c r="B29" s="1" t="str">
        <f>""</f>
        <v/>
      </c>
      <c r="C29" s="1" t="s">
        <v>143</v>
      </c>
      <c r="D29" s="1" t="str">
        <f>"200933"</f>
        <v>200933</v>
      </c>
      <c r="E29" s="1" t="str">
        <f>"Fallet Transport"</f>
        <v>Fallet Transport</v>
      </c>
    </row>
    <row r="30" spans="1:5" x14ac:dyDescent="0.25">
      <c r="A30" s="1" t="s">
        <v>297</v>
      </c>
      <c r="B30" s="1"/>
      <c r="C30" s="1"/>
      <c r="D30" s="1"/>
      <c r="E30" s="1" t="s">
        <v>299</v>
      </c>
    </row>
    <row r="31" spans="1:5" x14ac:dyDescent="0.25">
      <c r="A31" s="1" t="str">
        <f>"Bjørn Kr. Amundsen"</f>
        <v>Bjørn Kr. Amundsen</v>
      </c>
      <c r="B31" s="1" t="str">
        <f>"62966990"</f>
        <v>62966990</v>
      </c>
      <c r="C31" s="1" t="s">
        <v>247</v>
      </c>
      <c r="D31" s="1" t="str">
        <f>"200665"</f>
        <v>200665</v>
      </c>
      <c r="E31" s="1" t="str">
        <f>"Bjørn's Transport AS"</f>
        <v>Bjørn's Transport AS</v>
      </c>
    </row>
    <row r="32" spans="1:5" x14ac:dyDescent="0.25">
      <c r="A32" s="1" t="str">
        <f>"Bård Haugen"</f>
        <v>Bård Haugen</v>
      </c>
      <c r="B32" s="1" t="str">
        <f>"69880609"</f>
        <v>69880609</v>
      </c>
      <c r="C32" s="1" t="s">
        <v>51</v>
      </c>
      <c r="D32" s="1" t="str">
        <f>"201630"</f>
        <v>201630</v>
      </c>
      <c r="E32" s="1" t="str">
        <f>"Haugen Bård Transport AS"</f>
        <v>Haugen Bård Transport AS</v>
      </c>
    </row>
    <row r="33" spans="1:5" x14ac:dyDescent="0.25">
      <c r="A33" s="1" t="s">
        <v>324</v>
      </c>
      <c r="B33" s="1"/>
      <c r="C33" s="1"/>
      <c r="D33" s="1"/>
      <c r="E33" s="1" t="s">
        <v>251</v>
      </c>
    </row>
    <row r="34" spans="1:5" x14ac:dyDescent="0.25">
      <c r="A34" s="1" t="s">
        <v>302</v>
      </c>
      <c r="B34" s="1"/>
      <c r="C34" s="1"/>
      <c r="D34" s="1"/>
      <c r="E34" s="1" t="s">
        <v>303</v>
      </c>
    </row>
    <row r="35" spans="1:5" x14ac:dyDescent="0.25">
      <c r="A35" s="1" t="s">
        <v>70</v>
      </c>
      <c r="B35" s="1"/>
      <c r="C35" s="1"/>
      <c r="D35" s="1"/>
      <c r="E35" s="1" t="s">
        <v>71</v>
      </c>
    </row>
    <row r="36" spans="1:5" x14ac:dyDescent="0.25">
      <c r="A36" s="1" t="s">
        <v>279</v>
      </c>
      <c r="B36" s="1"/>
      <c r="C36" s="1"/>
      <c r="D36" s="1"/>
      <c r="E36" s="1" t="s">
        <v>246</v>
      </c>
    </row>
    <row r="37" spans="1:5" x14ac:dyDescent="0.25">
      <c r="A37" s="1" t="s">
        <v>269</v>
      </c>
      <c r="B37" s="1"/>
      <c r="C37" s="1" t="s">
        <v>270</v>
      </c>
      <c r="D37" s="1"/>
      <c r="E37" s="1" t="s">
        <v>154</v>
      </c>
    </row>
    <row r="38" spans="1:5" x14ac:dyDescent="0.25">
      <c r="A38" s="1" t="s">
        <v>159</v>
      </c>
      <c r="B38" s="1"/>
      <c r="C38" s="1"/>
      <c r="D38" s="1"/>
      <c r="E38" s="1" t="s">
        <v>162</v>
      </c>
    </row>
    <row r="39" spans="1:5" x14ac:dyDescent="0.25">
      <c r="A39" s="1" t="s">
        <v>119</v>
      </c>
      <c r="B39" s="1"/>
      <c r="C39" s="1" t="s">
        <v>120</v>
      </c>
      <c r="D39" s="1"/>
      <c r="E39" s="1" t="s">
        <v>123</v>
      </c>
    </row>
    <row r="40" spans="1:5" x14ac:dyDescent="0.25">
      <c r="A40" s="1" t="s">
        <v>44</v>
      </c>
      <c r="B40" s="1"/>
      <c r="C40" s="1" t="s">
        <v>291</v>
      </c>
      <c r="D40" s="1"/>
      <c r="E40" s="1" t="s">
        <v>14</v>
      </c>
    </row>
    <row r="41" spans="1:5" x14ac:dyDescent="0.25">
      <c r="A41" s="1" t="s">
        <v>267</v>
      </c>
      <c r="B41" s="1"/>
      <c r="C41" s="1" t="s">
        <v>187</v>
      </c>
      <c r="D41" s="1"/>
      <c r="E41" s="1" t="s">
        <v>154</v>
      </c>
    </row>
    <row r="42" spans="1:5" x14ac:dyDescent="0.25">
      <c r="A42" s="1" t="s">
        <v>20</v>
      </c>
      <c r="B42" s="1"/>
      <c r="C42" s="1"/>
      <c r="D42" s="1"/>
      <c r="E42" s="1" t="s">
        <v>21</v>
      </c>
    </row>
    <row r="43" spans="1:5" x14ac:dyDescent="0.25">
      <c r="A43" s="1" t="str">
        <f>"Dagfinn Strøm"</f>
        <v>Dagfinn Strøm</v>
      </c>
      <c r="B43" s="1" t="str">
        <f>"61335561"</f>
        <v>61335561</v>
      </c>
      <c r="C43" s="1" t="s">
        <v>4</v>
      </c>
      <c r="D43" s="1" t="str">
        <f>"202294"</f>
        <v>202294</v>
      </c>
      <c r="E43" s="1" t="str">
        <f>"Strøm Dagfinn Transport AS"</f>
        <v>Strøm Dagfinn Transport AS</v>
      </c>
    </row>
    <row r="44" spans="1:5" x14ac:dyDescent="0.25">
      <c r="A44" s="1" t="s">
        <v>224</v>
      </c>
      <c r="B44" s="1"/>
      <c r="C44" s="1" t="s">
        <v>11</v>
      </c>
      <c r="D44" s="1"/>
      <c r="E44" s="1" t="str">
        <f>"Kneppen Transport AS"</f>
        <v>Kneppen Transport AS</v>
      </c>
    </row>
    <row r="45" spans="1:5" x14ac:dyDescent="0.25">
      <c r="A45" s="1" t="s">
        <v>228</v>
      </c>
      <c r="B45" s="1"/>
      <c r="C45" s="1" t="s">
        <v>11</v>
      </c>
      <c r="D45" s="1"/>
      <c r="E45" s="1" t="str">
        <f>"Kneppen Transport AS"</f>
        <v>Kneppen Transport AS</v>
      </c>
    </row>
    <row r="46" spans="1:5" x14ac:dyDescent="0.25">
      <c r="A46" s="1" t="str">
        <f>"Egil Nicolaysen"</f>
        <v>Egil Nicolaysen</v>
      </c>
      <c r="B46" s="1" t="str">
        <f>"69129630"</f>
        <v>69129630</v>
      </c>
      <c r="C46" s="1" t="s">
        <v>184</v>
      </c>
      <c r="D46" s="1" t="str">
        <f>"200909"</f>
        <v>200909</v>
      </c>
      <c r="E46" s="1" t="str">
        <f>"Nicolaysen E. Transport AS"</f>
        <v>Nicolaysen E. Transport AS</v>
      </c>
    </row>
    <row r="47" spans="1:5" x14ac:dyDescent="0.25">
      <c r="A47" s="1" t="str">
        <f>"Einar Bruskerud"</f>
        <v>Einar Bruskerud</v>
      </c>
      <c r="B47" s="1" t="str">
        <f>"61349041"</f>
        <v>61349041</v>
      </c>
      <c r="C47" s="1"/>
      <c r="D47" s="1" t="str">
        <f>"202130"</f>
        <v>202130</v>
      </c>
      <c r="E47" s="1" t="str">
        <f>"Valdrestømmer AS"</f>
        <v>Valdrestømmer AS</v>
      </c>
    </row>
    <row r="48" spans="1:5" x14ac:dyDescent="0.25">
      <c r="A48" s="1" t="s">
        <v>306</v>
      </c>
      <c r="B48" s="1"/>
      <c r="C48" s="1"/>
      <c r="D48" s="1"/>
      <c r="E48" s="1" t="s">
        <v>307</v>
      </c>
    </row>
    <row r="49" spans="1:5" x14ac:dyDescent="0.25">
      <c r="A49" s="1" t="s">
        <v>166</v>
      </c>
      <c r="B49" s="1"/>
      <c r="C49" s="1"/>
      <c r="D49" s="1"/>
      <c r="E49" s="1"/>
    </row>
    <row r="50" spans="1:5" x14ac:dyDescent="0.25">
      <c r="A50" s="1" t="s">
        <v>164</v>
      </c>
      <c r="B50" s="1"/>
      <c r="C50" s="1"/>
      <c r="D50" s="1"/>
      <c r="E50" s="1"/>
    </row>
    <row r="51" spans="1:5" x14ac:dyDescent="0.25">
      <c r="A51" s="1" t="str">
        <f>"Elling Kalskin"</f>
        <v>Elling Kalskin</v>
      </c>
      <c r="B51" s="1" t="str">
        <f>"61337316"</f>
        <v>61337316</v>
      </c>
      <c r="C51" s="1"/>
      <c r="D51" s="1" t="str">
        <f>"201619"</f>
        <v>201619</v>
      </c>
      <c r="E51" s="1" t="str">
        <f>"Kalskin Elling"</f>
        <v>Kalskin Elling</v>
      </c>
    </row>
    <row r="52" spans="1:5" x14ac:dyDescent="0.25">
      <c r="A52" s="1" t="s">
        <v>83</v>
      </c>
      <c r="B52" s="1"/>
      <c r="C52" s="1" t="s">
        <v>84</v>
      </c>
      <c r="D52" s="1"/>
      <c r="E52" s="1" t="s">
        <v>86</v>
      </c>
    </row>
    <row r="53" spans="1:5" x14ac:dyDescent="0.25">
      <c r="A53" s="1" t="str">
        <f>"Erik Graarud"</f>
        <v>Erik Graarud</v>
      </c>
      <c r="B53" s="1" t="str">
        <f>"69357272"</f>
        <v>69357272</v>
      </c>
      <c r="C53" s="1"/>
      <c r="D53" s="1" t="str">
        <f>"200848"</f>
        <v>200848</v>
      </c>
      <c r="E53" s="1" t="str">
        <f>"Graarud Spesialtransport AS"</f>
        <v>Graarud Spesialtransport AS</v>
      </c>
    </row>
    <row r="54" spans="1:5" x14ac:dyDescent="0.25">
      <c r="A54" s="1" t="str">
        <f>"Erik Haug"</f>
        <v>Erik Haug</v>
      </c>
      <c r="B54" s="1" t="str">
        <f>"62973161"</f>
        <v>62973161</v>
      </c>
      <c r="C54" s="1" t="s">
        <v>208</v>
      </c>
      <c r="D54" s="1" t="str">
        <f>"208985"</f>
        <v>208985</v>
      </c>
      <c r="E54" s="1" t="str">
        <f>"Haug Transportservice AS"</f>
        <v>Haug Transportservice AS</v>
      </c>
    </row>
    <row r="55" spans="1:5" x14ac:dyDescent="0.25">
      <c r="A55" s="1" t="s">
        <v>19</v>
      </c>
      <c r="B55" s="1"/>
      <c r="C55" s="1"/>
      <c r="D55" s="1"/>
      <c r="E55" s="1" t="s">
        <v>18</v>
      </c>
    </row>
    <row r="56" spans="1:5" x14ac:dyDescent="0.25">
      <c r="A56" s="1" t="str">
        <f>"Erik Nilsen"</f>
        <v>Erik Nilsen</v>
      </c>
      <c r="B56" s="1" t="str">
        <f>"69884982"</f>
        <v>69884982</v>
      </c>
      <c r="C56" s="1" t="s">
        <v>54</v>
      </c>
      <c r="D56" s="1" t="str">
        <f>"201203"</f>
        <v>201203</v>
      </c>
      <c r="E56" s="1" t="str">
        <f>"Erik Nilsen"</f>
        <v>Erik Nilsen</v>
      </c>
    </row>
    <row r="57" spans="1:5" x14ac:dyDescent="0.25">
      <c r="A57" s="1" t="s">
        <v>338</v>
      </c>
      <c r="B57" s="1"/>
      <c r="C57" s="1" t="s">
        <v>340</v>
      </c>
      <c r="D57" s="1"/>
      <c r="E57" s="1" t="s">
        <v>256</v>
      </c>
    </row>
    <row r="58" spans="1:5" x14ac:dyDescent="0.25">
      <c r="A58" s="1" t="str">
        <f>"Even Vatne Lerdalen"</f>
        <v>Even Vatne Lerdalen</v>
      </c>
      <c r="B58" s="1" t="str">
        <f>"62976158"</f>
        <v>62976158</v>
      </c>
      <c r="C58" s="1" t="s">
        <v>107</v>
      </c>
      <c r="D58" s="1" t="str">
        <f>"201910"</f>
        <v>201910</v>
      </c>
      <c r="E58" s="1" t="str">
        <f>"Vatne Transport"</f>
        <v>Vatne Transport</v>
      </c>
    </row>
    <row r="59" spans="1:5" x14ac:dyDescent="0.25">
      <c r="A59" s="1" t="s">
        <v>225</v>
      </c>
      <c r="B59" s="1"/>
      <c r="C59" s="1" t="s">
        <v>226</v>
      </c>
      <c r="D59" s="1"/>
      <c r="E59" s="1" t="str">
        <f>"Kneppen Transport AS"</f>
        <v>Kneppen Transport AS</v>
      </c>
    </row>
    <row r="60" spans="1:5" x14ac:dyDescent="0.25">
      <c r="A60" s="1" t="s">
        <v>77</v>
      </c>
      <c r="B60" s="1"/>
      <c r="C60" s="1" t="s">
        <v>93</v>
      </c>
      <c r="D60" s="1"/>
      <c r="E60" s="1"/>
    </row>
    <row r="61" spans="1:5" x14ac:dyDescent="0.25">
      <c r="A61" s="1" t="str">
        <f>"Fredrik Andre Nicolaysen"</f>
        <v>Fredrik Andre Nicolaysen</v>
      </c>
      <c r="B61" s="1" t="str">
        <f>""</f>
        <v/>
      </c>
      <c r="C61" s="1" t="s">
        <v>116</v>
      </c>
      <c r="D61" s="1" t="str">
        <f>"0"</f>
        <v>0</v>
      </c>
      <c r="E61" s="1" t="str">
        <f>""</f>
        <v/>
      </c>
    </row>
    <row r="62" spans="1:5" x14ac:dyDescent="0.25">
      <c r="A62" s="1" t="s">
        <v>174</v>
      </c>
      <c r="B62" s="1"/>
      <c r="C62" s="1" t="s">
        <v>175</v>
      </c>
      <c r="D62" s="1"/>
      <c r="E62" s="1" t="s">
        <v>335</v>
      </c>
    </row>
    <row r="63" spans="1:5" x14ac:dyDescent="0.25">
      <c r="A63" s="1" t="s">
        <v>148</v>
      </c>
      <c r="B63" s="1"/>
      <c r="C63" s="1"/>
      <c r="D63" s="1"/>
      <c r="E63" s="1" t="s">
        <v>31</v>
      </c>
    </row>
    <row r="64" spans="1:5" x14ac:dyDescent="0.25">
      <c r="A64" s="1" t="str">
        <f>"Geir Kåre Høgvoll"</f>
        <v>Geir Kåre Høgvoll</v>
      </c>
      <c r="B64" s="1" t="str">
        <f>"61214383"</f>
        <v>61214383</v>
      </c>
      <c r="C64" s="1"/>
      <c r="D64" s="1" t="str">
        <f>"200166"</f>
        <v>200166</v>
      </c>
      <c r="E64" s="1" t="str">
        <f>"Høgvoll Brødrene AS"</f>
        <v>Høgvoll Brødrene AS</v>
      </c>
    </row>
    <row r="65" spans="1:5" x14ac:dyDescent="0.25">
      <c r="A65" s="1" t="str">
        <f>"Geir Lermo"</f>
        <v>Geir Lermo</v>
      </c>
      <c r="B65" s="1" t="str">
        <f>""</f>
        <v/>
      </c>
      <c r="C65" s="1" t="s">
        <v>183</v>
      </c>
      <c r="D65" s="1" t="str">
        <f>"201835"</f>
        <v>201835</v>
      </c>
      <c r="E65" s="1" t="str">
        <f>"Lermo Geir Transport"</f>
        <v>Lermo Geir Transport</v>
      </c>
    </row>
    <row r="66" spans="1:5" x14ac:dyDescent="0.25">
      <c r="A66" s="1" t="str">
        <f>"Graarud Spesialtransport AS"</f>
        <v>Graarud Spesialtransport AS</v>
      </c>
      <c r="B66" s="1"/>
      <c r="C66" s="1"/>
      <c r="D66" s="1"/>
      <c r="E66" s="1"/>
    </row>
    <row r="67" spans="1:5" x14ac:dyDescent="0.25">
      <c r="A67" s="1" t="str">
        <f>"Graarud Spesialtransport AS"</f>
        <v>Graarud Spesialtransport AS</v>
      </c>
      <c r="B67" s="1"/>
      <c r="C67" s="1"/>
      <c r="D67" s="1"/>
      <c r="E67" s="1"/>
    </row>
    <row r="68" spans="1:5" x14ac:dyDescent="0.25">
      <c r="A68" s="1" t="str">
        <f>"Graarud Spesialtransport AS"</f>
        <v>Graarud Spesialtransport AS</v>
      </c>
      <c r="B68" s="1"/>
      <c r="C68" s="1"/>
      <c r="D68" s="1"/>
      <c r="E68" s="1"/>
    </row>
    <row r="69" spans="1:5" x14ac:dyDescent="0.25">
      <c r="A69" s="1" t="str">
        <f>"Graarud Spesialtransport AS"</f>
        <v>Graarud Spesialtransport AS</v>
      </c>
      <c r="B69" s="1"/>
      <c r="C69" s="1"/>
      <c r="D69" s="1"/>
      <c r="E69" s="1"/>
    </row>
    <row r="70" spans="1:5" x14ac:dyDescent="0.25">
      <c r="A70" s="1" t="str">
        <f>"Graarud Spesialtransport AS"</f>
        <v>Graarud Spesialtransport AS</v>
      </c>
      <c r="B70" s="1"/>
      <c r="C70" s="1"/>
      <c r="D70" s="1"/>
      <c r="E70" s="1"/>
    </row>
    <row r="71" spans="1:5" x14ac:dyDescent="0.25">
      <c r="A71" s="1" t="s">
        <v>45</v>
      </c>
      <c r="B71" s="1"/>
      <c r="C71" s="1" t="s">
        <v>46</v>
      </c>
      <c r="D71" s="1"/>
      <c r="E71" s="1" t="s">
        <v>47</v>
      </c>
    </row>
    <row r="72" spans="1:5" x14ac:dyDescent="0.25">
      <c r="A72" s="1" t="str">
        <f>"Gunnar Lunder"</f>
        <v>Gunnar Lunder</v>
      </c>
      <c r="B72" s="1" t="str">
        <f>"63905116"</f>
        <v>63905116</v>
      </c>
      <c r="C72" s="1" t="s">
        <v>254</v>
      </c>
      <c r="D72" s="1" t="str">
        <f>"202461"</f>
        <v>202461</v>
      </c>
      <c r="E72" s="1" t="str">
        <f>"Lunder AS"</f>
        <v>Lunder AS</v>
      </c>
    </row>
    <row r="73" spans="1:5" x14ac:dyDescent="0.25">
      <c r="A73" s="1" t="s">
        <v>68</v>
      </c>
      <c r="B73" s="1"/>
      <c r="C73" s="1"/>
      <c r="D73" s="1"/>
      <c r="E73" s="1" t="s">
        <v>176</v>
      </c>
    </row>
    <row r="74" spans="1:5" x14ac:dyDescent="0.25">
      <c r="A74" s="1" t="s">
        <v>163</v>
      </c>
      <c r="B74" s="1"/>
      <c r="C74" s="1"/>
      <c r="D74" s="1"/>
      <c r="E74" s="1"/>
    </row>
    <row r="75" spans="1:5" x14ac:dyDescent="0.25">
      <c r="A75" s="1" t="str">
        <f>"Hans Erik Molstad"</f>
        <v>Hans Erik Molstad</v>
      </c>
      <c r="B75" s="1" t="str">
        <f>"62523484"</f>
        <v>62523484</v>
      </c>
      <c r="C75" s="1" t="s">
        <v>118</v>
      </c>
      <c r="D75" s="1" t="str">
        <f>"200654"</f>
        <v>200654</v>
      </c>
      <c r="E75" s="1" t="str">
        <f>"Molstad Ola Erik AS"</f>
        <v>Molstad Ola Erik AS</v>
      </c>
    </row>
    <row r="76" spans="1:5" x14ac:dyDescent="0.25">
      <c r="A76" s="1" t="s">
        <v>74</v>
      </c>
      <c r="B76" s="1"/>
      <c r="C76" s="1" t="s">
        <v>75</v>
      </c>
      <c r="D76" s="1"/>
      <c r="E76" s="1" t="s">
        <v>76</v>
      </c>
    </row>
    <row r="77" spans="1:5" x14ac:dyDescent="0.25">
      <c r="A77" s="1" t="str">
        <f>"Hans Johan Kise"</f>
        <v>Hans Johan Kise</v>
      </c>
      <c r="B77" s="1" t="str">
        <f>""</f>
        <v/>
      </c>
      <c r="C77" s="1"/>
      <c r="D77" s="1" t="str">
        <f>"208465"</f>
        <v>208465</v>
      </c>
      <c r="E77" s="1" t="str">
        <f>"DK Transport DA"</f>
        <v>DK Transport DA</v>
      </c>
    </row>
    <row r="78" spans="1:5" x14ac:dyDescent="0.25">
      <c r="A78" s="1" t="s">
        <v>230</v>
      </c>
      <c r="B78" s="1"/>
      <c r="C78" s="1"/>
      <c r="D78" s="1"/>
      <c r="E78" s="1" t="str">
        <f>"Høgvoll Brødrene AS"</f>
        <v>Høgvoll Brødrene AS</v>
      </c>
    </row>
    <row r="79" spans="1:5" x14ac:dyDescent="0.25">
      <c r="A79" s="1" t="str">
        <f>"Hans P Fredriksen"</f>
        <v>Hans P Fredriksen</v>
      </c>
      <c r="B79" s="1" t="str">
        <f>"67134201"</f>
        <v>67134201</v>
      </c>
      <c r="C79" s="1" t="s">
        <v>46</v>
      </c>
      <c r="D79" s="1" t="str">
        <f>"200918"</f>
        <v>200918</v>
      </c>
      <c r="E79" s="1" t="str">
        <f>"Nyrud Transport AS"</f>
        <v>Nyrud Transport AS</v>
      </c>
    </row>
    <row r="80" spans="1:5" x14ac:dyDescent="0.25">
      <c r="A80" s="1" t="s">
        <v>169</v>
      </c>
      <c r="B80" s="1"/>
      <c r="C80" s="1"/>
      <c r="D80" s="1"/>
      <c r="E80" s="1"/>
    </row>
    <row r="81" spans="1:5" x14ac:dyDescent="0.25">
      <c r="A81" s="1" t="str">
        <f>"Harry Nilsen"</f>
        <v>Harry Nilsen</v>
      </c>
      <c r="B81" s="1" t="str">
        <f>"63866110"</f>
        <v>63866110</v>
      </c>
      <c r="C81" s="1" t="s">
        <v>112</v>
      </c>
      <c r="D81" s="1" t="str">
        <f>"200945"</f>
        <v>200945</v>
      </c>
      <c r="E81" s="1" t="str">
        <f>"Sørum Transport AS"</f>
        <v>Sørum Transport AS</v>
      </c>
    </row>
    <row r="82" spans="1:5" x14ac:dyDescent="0.25">
      <c r="A82" s="1" t="s">
        <v>192</v>
      </c>
      <c r="B82" s="1"/>
      <c r="C82" s="1" t="s">
        <v>193</v>
      </c>
      <c r="D82" s="1"/>
      <c r="E82" s="1" t="str">
        <f>"Lindemark Transport AS"</f>
        <v>Lindemark Transport AS</v>
      </c>
    </row>
    <row r="83" spans="1:5" x14ac:dyDescent="0.25">
      <c r="A83" s="1" t="s">
        <v>109</v>
      </c>
      <c r="B83" s="1"/>
      <c r="C83" s="1" t="s">
        <v>11</v>
      </c>
      <c r="D83" s="1"/>
      <c r="E83" s="1" t="s">
        <v>108</v>
      </c>
    </row>
    <row r="84" spans="1:5" x14ac:dyDescent="0.25">
      <c r="A84" s="1" t="s">
        <v>32</v>
      </c>
      <c r="B84" s="1"/>
      <c r="C84" s="1" t="s">
        <v>11</v>
      </c>
      <c r="D84" s="1"/>
      <c r="E84" s="1" t="s">
        <v>31</v>
      </c>
    </row>
    <row r="85" spans="1:5" x14ac:dyDescent="0.25">
      <c r="A85" s="1" t="s">
        <v>36</v>
      </c>
      <c r="B85" s="1"/>
      <c r="C85" s="1"/>
      <c r="D85" s="1"/>
      <c r="E85" s="1" t="s">
        <v>37</v>
      </c>
    </row>
    <row r="86" spans="1:5" x14ac:dyDescent="0.25">
      <c r="A86" s="1" t="s">
        <v>200</v>
      </c>
      <c r="B86" s="1"/>
      <c r="C86" s="1" t="s">
        <v>201</v>
      </c>
      <c r="D86" s="1"/>
      <c r="E86" s="1" t="str">
        <f>"Kristiansen Kran &amp; Transport AS"</f>
        <v>Kristiansen Kran &amp; Transport AS</v>
      </c>
    </row>
    <row r="87" spans="1:5" x14ac:dyDescent="0.25">
      <c r="A87" s="1" t="str">
        <f>"Henrik Leirdal"</f>
        <v>Henrik Leirdal</v>
      </c>
      <c r="B87" s="1" t="str">
        <f>"61160060"</f>
        <v>61160060</v>
      </c>
      <c r="C87" s="1" t="s">
        <v>216</v>
      </c>
      <c r="D87" s="1" t="str">
        <f>"200727"</f>
        <v>200727</v>
      </c>
      <c r="E87" s="1" t="str">
        <f>""</f>
        <v/>
      </c>
    </row>
    <row r="88" spans="1:5" x14ac:dyDescent="0.25">
      <c r="A88" s="1" t="s">
        <v>194</v>
      </c>
      <c r="B88" s="1"/>
      <c r="C88" s="1"/>
      <c r="D88" s="1"/>
      <c r="E88" s="1" t="s">
        <v>196</v>
      </c>
    </row>
    <row r="89" spans="1:5" x14ac:dyDescent="0.25">
      <c r="A89" s="1" t="s">
        <v>22</v>
      </c>
      <c r="B89" s="1"/>
      <c r="C89" s="1"/>
      <c r="D89" s="1"/>
      <c r="E89" s="1" t="s">
        <v>22</v>
      </c>
    </row>
    <row r="90" spans="1:5" x14ac:dyDescent="0.25">
      <c r="A90" s="1" t="str">
        <f>"Ingar Granly"</f>
        <v>Ingar Granly</v>
      </c>
      <c r="B90" s="1" t="str">
        <f>""</f>
        <v/>
      </c>
      <c r="C90" s="1" t="s">
        <v>3</v>
      </c>
      <c r="D90" s="1" t="str">
        <f>"200171"</f>
        <v>200171</v>
      </c>
      <c r="E90" s="1" t="str">
        <f>"Granlys Transport AS"</f>
        <v>Granlys Transport AS</v>
      </c>
    </row>
    <row r="91" spans="1:5" x14ac:dyDescent="0.25">
      <c r="A91" s="1" t="s">
        <v>142</v>
      </c>
      <c r="B91" s="1"/>
      <c r="C91" s="1"/>
      <c r="D91" s="1"/>
      <c r="E91" s="1" t="s">
        <v>37</v>
      </c>
    </row>
    <row r="92" spans="1:5" x14ac:dyDescent="0.25">
      <c r="A92" s="1" t="s">
        <v>265</v>
      </c>
      <c r="B92" s="1"/>
      <c r="C92" s="1"/>
      <c r="D92" s="1"/>
      <c r="E92" s="1" t="s">
        <v>249</v>
      </c>
    </row>
    <row r="93" spans="1:5" x14ac:dyDescent="0.25">
      <c r="A93" s="1" t="str">
        <f>"Ivar Eriksen"</f>
        <v>Ivar Eriksen</v>
      </c>
      <c r="B93" s="1" t="str">
        <f>""</f>
        <v/>
      </c>
      <c r="C93" s="1"/>
      <c r="D93" s="1" t="str">
        <f>"208390"</f>
        <v>208390</v>
      </c>
      <c r="E93" s="1" t="str">
        <f>"Eriksen Ivar Transport"</f>
        <v>Eriksen Ivar Transport</v>
      </c>
    </row>
    <row r="94" spans="1:5" x14ac:dyDescent="0.25">
      <c r="A94" s="1" t="str">
        <f>"Ivar F Bekkevold"</f>
        <v>Ivar F Bekkevold</v>
      </c>
      <c r="B94" s="1" t="str">
        <f>"69192970"</f>
        <v>69192970</v>
      </c>
      <c r="C94" s="1" t="s">
        <v>198</v>
      </c>
      <c r="D94" s="1" t="str">
        <f>"200861"</f>
        <v>200861</v>
      </c>
      <c r="E94" s="1" t="str">
        <f>"Bekkevold Ivar F"</f>
        <v>Bekkevold Ivar F</v>
      </c>
    </row>
    <row r="95" spans="1:5" x14ac:dyDescent="0.25">
      <c r="A95" s="1" t="s">
        <v>253</v>
      </c>
      <c r="B95" s="1"/>
      <c r="C95" s="1" t="s">
        <v>283</v>
      </c>
      <c r="D95" s="1"/>
      <c r="E95" s="1" t="s">
        <v>260</v>
      </c>
    </row>
    <row r="96" spans="1:5" x14ac:dyDescent="0.25">
      <c r="A96" s="1" t="s">
        <v>16</v>
      </c>
      <c r="B96" s="1"/>
      <c r="C96" s="1" t="s">
        <v>293</v>
      </c>
      <c r="D96" s="1"/>
      <c r="E96" s="1" t="s">
        <v>14</v>
      </c>
    </row>
    <row r="97" spans="1:5" x14ac:dyDescent="0.25">
      <c r="A97" s="1" t="s">
        <v>10</v>
      </c>
      <c r="B97" s="1"/>
      <c r="C97" s="1" t="s">
        <v>11</v>
      </c>
      <c r="D97" s="1"/>
      <c r="E97" s="1" t="s">
        <v>12</v>
      </c>
    </row>
    <row r="98" spans="1:5" x14ac:dyDescent="0.25">
      <c r="A98" s="1" t="s">
        <v>272</v>
      </c>
      <c r="B98" s="1"/>
      <c r="C98" s="1" t="s">
        <v>63</v>
      </c>
      <c r="D98" s="1"/>
      <c r="E98" s="1" t="s">
        <v>47</v>
      </c>
    </row>
    <row r="99" spans="1:5" x14ac:dyDescent="0.25">
      <c r="A99" s="1" t="s">
        <v>315</v>
      </c>
      <c r="B99" s="1"/>
      <c r="C99" s="1"/>
      <c r="D99" s="1"/>
      <c r="E99" s="1" t="s">
        <v>22</v>
      </c>
    </row>
    <row r="100" spans="1:5" x14ac:dyDescent="0.25">
      <c r="A100" s="1" t="s">
        <v>319</v>
      </c>
      <c r="B100" s="1"/>
      <c r="C100" s="1"/>
      <c r="D100" s="1"/>
      <c r="E100" s="1" t="s">
        <v>320</v>
      </c>
    </row>
    <row r="101" spans="1:5" x14ac:dyDescent="0.25">
      <c r="A101" s="1" t="str">
        <f>"Jan Ivar Høisveen"</f>
        <v>Jan Ivar Høisveen</v>
      </c>
      <c r="B101" s="1" t="str">
        <f>""</f>
        <v/>
      </c>
      <c r="C101" s="1" t="s">
        <v>124</v>
      </c>
      <c r="D101" s="1" t="str">
        <f>"208802"</f>
        <v>208802</v>
      </c>
      <c r="E101" s="1" t="str">
        <f>"Jpl Transport AS"</f>
        <v>Jpl Transport AS</v>
      </c>
    </row>
    <row r="102" spans="1:5" x14ac:dyDescent="0.25">
      <c r="A102" s="1" t="s">
        <v>110</v>
      </c>
      <c r="B102" s="1"/>
      <c r="C102" s="1" t="s">
        <v>11</v>
      </c>
      <c r="D102" s="1"/>
      <c r="E102" s="1" t="s">
        <v>108</v>
      </c>
    </row>
    <row r="103" spans="1:5" x14ac:dyDescent="0.25">
      <c r="A103" s="1" t="s">
        <v>221</v>
      </c>
      <c r="B103" s="1"/>
      <c r="C103" s="1" t="s">
        <v>118</v>
      </c>
      <c r="D103" s="1"/>
      <c r="E103" s="1" t="str">
        <f>"Kneppen Transport AS"</f>
        <v>Kneppen Transport AS</v>
      </c>
    </row>
    <row r="104" spans="1:5" x14ac:dyDescent="0.25">
      <c r="A104" s="1" t="s">
        <v>105</v>
      </c>
      <c r="B104" s="1"/>
      <c r="C104" s="1"/>
      <c r="D104" s="1"/>
      <c r="E104" s="1" t="s">
        <v>106</v>
      </c>
    </row>
    <row r="105" spans="1:5" x14ac:dyDescent="0.25">
      <c r="A105" s="1" t="str">
        <f>"Jan Olav Erøy"</f>
        <v>Jan Olav Erøy</v>
      </c>
      <c r="B105" s="1" t="str">
        <f>""</f>
        <v/>
      </c>
      <c r="C105" s="1"/>
      <c r="D105" s="1" t="str">
        <f>"200877"</f>
        <v>200877</v>
      </c>
      <c r="E105" s="1" t="str">
        <f>"Erøy Jan AS"</f>
        <v>Erøy Jan AS</v>
      </c>
    </row>
    <row r="106" spans="1:5" x14ac:dyDescent="0.25">
      <c r="A106" s="1" t="s">
        <v>160</v>
      </c>
      <c r="B106" s="1"/>
      <c r="C106" s="1"/>
      <c r="D106" s="1"/>
      <c r="E106" s="1" t="s">
        <v>162</v>
      </c>
    </row>
    <row r="107" spans="1:5" x14ac:dyDescent="0.25">
      <c r="A107" s="1" t="str">
        <f>"Jan Slettevold"</f>
        <v>Jan Slettevold</v>
      </c>
      <c r="B107" s="1" t="str">
        <f>"69363636"</f>
        <v>69363636</v>
      </c>
      <c r="C107" s="1"/>
      <c r="D107" s="1" t="str">
        <f>"0"</f>
        <v>0</v>
      </c>
      <c r="E107" s="1"/>
    </row>
    <row r="108" spans="1:5" x14ac:dyDescent="0.25">
      <c r="A108" s="1" t="s">
        <v>323</v>
      </c>
      <c r="B108" s="1"/>
      <c r="C108" s="1"/>
      <c r="D108" s="1"/>
      <c r="E108" s="1" t="s">
        <v>251</v>
      </c>
    </row>
    <row r="109" spans="1:5" x14ac:dyDescent="0.25">
      <c r="A109" s="1" t="str">
        <f>"Jan-Yngvar Tømmerholt"</f>
        <v>Jan-Yngvar Tømmerholt</v>
      </c>
      <c r="B109" s="1" t="str">
        <f>"40709545"</f>
        <v>40709545</v>
      </c>
      <c r="C109" s="1" t="s">
        <v>11</v>
      </c>
      <c r="D109" s="1" t="str">
        <f>"200907"</f>
        <v>200907</v>
      </c>
      <c r="E109" s="1" t="str">
        <f>"Tømmerholt Transport AS"</f>
        <v>Tømmerholt Transport AS</v>
      </c>
    </row>
    <row r="110" spans="1:5" x14ac:dyDescent="0.25">
      <c r="A110" s="1" t="str">
        <f>"Jarle Eidsand"</f>
        <v>Jarle Eidsand</v>
      </c>
      <c r="B110" s="1" t="str">
        <f>""</f>
        <v/>
      </c>
      <c r="C110" s="1" t="s">
        <v>141</v>
      </c>
      <c r="D110" s="1" t="str">
        <f>"200681"</f>
        <v>200681</v>
      </c>
      <c r="E110" s="1" t="str">
        <f>"Eidsand Jarle"</f>
        <v>Eidsand Jarle</v>
      </c>
    </row>
    <row r="111" spans="1:5" x14ac:dyDescent="0.25">
      <c r="A111" s="1" t="s">
        <v>72</v>
      </c>
      <c r="B111" s="1"/>
      <c r="C111" s="1"/>
      <c r="D111" s="1"/>
      <c r="E111" s="1" t="s">
        <v>73</v>
      </c>
    </row>
    <row r="112" spans="1:5" x14ac:dyDescent="0.25">
      <c r="A112" s="1" t="s">
        <v>177</v>
      </c>
      <c r="B112" s="1"/>
      <c r="C112" s="1"/>
      <c r="D112" s="1"/>
      <c r="E112" s="1" t="s">
        <v>178</v>
      </c>
    </row>
    <row r="113" spans="1:5" x14ac:dyDescent="0.25">
      <c r="A113" s="1" t="str">
        <f>"Johan Mago"</f>
        <v>Johan Mago</v>
      </c>
      <c r="B113" s="1" t="str">
        <f>"91830080"</f>
        <v>91830080</v>
      </c>
      <c r="C113" s="1"/>
      <c r="D113" s="1" t="str">
        <f>"200971"</f>
        <v>200971</v>
      </c>
      <c r="E113" s="1" t="str">
        <f>"Mago Johan Transport"</f>
        <v>Mago Johan Transport</v>
      </c>
    </row>
    <row r="114" spans="1:5" x14ac:dyDescent="0.25">
      <c r="A114" s="1" t="s">
        <v>284</v>
      </c>
      <c r="B114" s="1"/>
      <c r="C114" s="1" t="s">
        <v>124</v>
      </c>
      <c r="D114" s="1"/>
      <c r="E114" s="1" t="s">
        <v>47</v>
      </c>
    </row>
    <row r="115" spans="1:5" x14ac:dyDescent="0.25">
      <c r="A115" s="1" t="s">
        <v>23</v>
      </c>
      <c r="B115" s="1"/>
      <c r="C115" s="1" t="s">
        <v>11</v>
      </c>
      <c r="D115" s="1"/>
      <c r="E115" s="1" t="s">
        <v>47</v>
      </c>
    </row>
    <row r="116" spans="1:5" x14ac:dyDescent="0.25">
      <c r="A116" s="1" t="str">
        <f>"John Ove Villung"</f>
        <v>John Ove Villung</v>
      </c>
      <c r="B116" s="1" t="str">
        <f>"33003270"</f>
        <v>33003270</v>
      </c>
      <c r="C116" s="1"/>
      <c r="D116" s="1" t="str">
        <f>"201121"</f>
        <v>201121</v>
      </c>
      <c r="E116" s="1" t="str">
        <f>"Vermelid Transport AS"</f>
        <v>Vermelid Transport AS</v>
      </c>
    </row>
    <row r="117" spans="1:5" x14ac:dyDescent="0.25">
      <c r="A117" s="1" t="s">
        <v>94</v>
      </c>
      <c r="B117" s="1"/>
      <c r="C117" s="1"/>
      <c r="D117" s="1"/>
      <c r="E117" s="1" t="s">
        <v>98</v>
      </c>
    </row>
    <row r="118" spans="1:5" x14ac:dyDescent="0.25">
      <c r="A118" s="1" t="s">
        <v>294</v>
      </c>
      <c r="B118" s="1" t="str">
        <f>"62350300"</f>
        <v>62350300</v>
      </c>
      <c r="C118" s="1" t="s">
        <v>295</v>
      </c>
      <c r="D118" s="1" t="str">
        <f>"202677"</f>
        <v>202677</v>
      </c>
      <c r="E118" s="1" t="str">
        <f>"Auto Assistanse AS"</f>
        <v>Auto Assistanse AS</v>
      </c>
    </row>
    <row r="119" spans="1:5" x14ac:dyDescent="0.25">
      <c r="A119" s="1" t="str">
        <f>"Jon Kaulum"</f>
        <v>Jon Kaulum</v>
      </c>
      <c r="B119" s="1" t="str">
        <f>"61251067"</f>
        <v>61251067</v>
      </c>
      <c r="C119" s="1" t="s">
        <v>180</v>
      </c>
      <c r="D119" s="1" t="str">
        <f>"202214"</f>
        <v>202214</v>
      </c>
      <c r="E119" s="1" t="str">
        <f>"Kaulum Jon Transport AS"</f>
        <v>Kaulum Jon Transport AS</v>
      </c>
    </row>
    <row r="120" spans="1:5" x14ac:dyDescent="0.25">
      <c r="A120" s="1" t="s">
        <v>88</v>
      </c>
      <c r="B120" s="1"/>
      <c r="C120" s="1" t="s">
        <v>11</v>
      </c>
      <c r="D120" s="1"/>
      <c r="E120" s="1" t="s">
        <v>48</v>
      </c>
    </row>
    <row r="121" spans="1:5" x14ac:dyDescent="0.25">
      <c r="A121" s="1" t="str">
        <f>"Jonny  Moe"</f>
        <v>Jonny  Moe</v>
      </c>
      <c r="B121" s="1" t="str">
        <f>""</f>
        <v/>
      </c>
      <c r="C121" s="1" t="s">
        <v>146</v>
      </c>
      <c r="D121" s="1" t="str">
        <f>"0"</f>
        <v>0</v>
      </c>
      <c r="E121" s="1" t="str">
        <f>"Jonny Moe AS"</f>
        <v>Jonny Moe AS</v>
      </c>
    </row>
    <row r="122" spans="1:5" x14ac:dyDescent="0.25">
      <c r="A122" s="1" t="str">
        <f>"Jonny Ruud"</f>
        <v>Jonny Ruud</v>
      </c>
      <c r="B122" s="1" t="str">
        <f>""</f>
        <v/>
      </c>
      <c r="C122" s="1" t="s">
        <v>187</v>
      </c>
      <c r="D122" s="1" t="str">
        <f>"208620"</f>
        <v>208620</v>
      </c>
      <c r="E122" s="1" t="str">
        <f>"Ruud Jonny Transport AS"</f>
        <v>Ruud Jonny Transport AS</v>
      </c>
    </row>
    <row r="123" spans="1:5" x14ac:dyDescent="0.25">
      <c r="A123" s="1" t="str">
        <f>"Kai Flemming Hagen"</f>
        <v>Kai Flemming Hagen</v>
      </c>
      <c r="B123" s="1" t="str">
        <f>"62542999"</f>
        <v>62542999</v>
      </c>
      <c r="C123" s="1" t="s">
        <v>277</v>
      </c>
      <c r="D123" s="1" t="str">
        <f>"201563"</f>
        <v>201563</v>
      </c>
      <c r="E123" s="1" t="str">
        <f>"Hagens Transport AS"</f>
        <v>Hagens Transport AS</v>
      </c>
    </row>
    <row r="124" spans="1:5" x14ac:dyDescent="0.25">
      <c r="A124" s="1" t="str">
        <f>"Kai Lindemark"</f>
        <v>Kai Lindemark</v>
      </c>
      <c r="B124" s="1" t="str">
        <f>"69224130"</f>
        <v>69224130</v>
      </c>
      <c r="C124" s="1" t="s">
        <v>190</v>
      </c>
      <c r="D124" s="1" t="str">
        <f>"201919"</f>
        <v>201919</v>
      </c>
      <c r="E124" s="1" t="str">
        <f>"Lindemark Transport AS"</f>
        <v>Lindemark Transport AS</v>
      </c>
    </row>
    <row r="125" spans="1:5" x14ac:dyDescent="0.25">
      <c r="A125" s="1" t="str">
        <f>"Kai Sandvold"</f>
        <v>Kai Sandvold</v>
      </c>
      <c r="B125" s="1" t="str">
        <f>"61138850"</f>
        <v>61138850</v>
      </c>
      <c r="C125" s="1" t="s">
        <v>52</v>
      </c>
      <c r="D125" s="1" t="str">
        <f>"202856"</f>
        <v>202856</v>
      </c>
      <c r="E125" s="1" t="str">
        <f>"Transportpartner AS"</f>
        <v>Transportpartner AS</v>
      </c>
    </row>
    <row r="126" spans="1:5" x14ac:dyDescent="0.25">
      <c r="A126" s="1" t="str">
        <f>"Kari Anne Amundsen"</f>
        <v>Kari Anne Amundsen</v>
      </c>
      <c r="B126" s="1" t="str">
        <f>""</f>
        <v/>
      </c>
      <c r="C126" s="1" t="s">
        <v>248</v>
      </c>
      <c r="D126" s="1" t="str">
        <f>"200665"</f>
        <v>200665</v>
      </c>
      <c r="E126" s="1" t="str">
        <f>"Bjørn's Transport AS"</f>
        <v>Bjørn's Transport AS</v>
      </c>
    </row>
    <row r="127" spans="1:5" x14ac:dyDescent="0.25">
      <c r="A127" s="1" t="s">
        <v>13</v>
      </c>
      <c r="B127" s="1"/>
      <c r="C127" s="1" t="s">
        <v>290</v>
      </c>
      <c r="D127" s="1"/>
      <c r="E127" s="1" t="s">
        <v>14</v>
      </c>
    </row>
    <row r="128" spans="1:5" x14ac:dyDescent="0.25">
      <c r="A128" s="1" t="s">
        <v>308</v>
      </c>
      <c r="B128" s="1"/>
      <c r="C128" s="1"/>
      <c r="D128" s="1"/>
      <c r="E128" s="1" t="s">
        <v>309</v>
      </c>
    </row>
    <row r="129" spans="1:5" x14ac:dyDescent="0.25">
      <c r="A129" s="1" t="str">
        <f>"Karl-Christian Strømnes"</f>
        <v>Karl-Christian Strømnes</v>
      </c>
      <c r="B129" s="1" t="str">
        <f>"69285250"</f>
        <v>69285250</v>
      </c>
      <c r="C129" s="1" t="s">
        <v>241</v>
      </c>
      <c r="D129" s="1" t="str">
        <f>"201764"</f>
        <v>201764</v>
      </c>
      <c r="E129" s="1" t="str">
        <f>"Strømnes Karl-Christian Transport"</f>
        <v>Strømnes Karl-Christian Transport</v>
      </c>
    </row>
    <row r="130" spans="1:5" x14ac:dyDescent="0.25">
      <c r="A130" s="1" t="str">
        <f>"Karsten A Fossum"</f>
        <v>Karsten A Fossum</v>
      </c>
      <c r="B130" s="1" t="str">
        <f>"69334421"</f>
        <v>69334421</v>
      </c>
      <c r="C130" s="1"/>
      <c r="D130" s="1" t="str">
        <f>"200846"</f>
        <v>200846</v>
      </c>
      <c r="E130" s="1" t="str">
        <f>"Fossum Karsten AS"</f>
        <v>Fossum Karsten AS</v>
      </c>
    </row>
    <row r="131" spans="1:5" x14ac:dyDescent="0.25">
      <c r="A131" s="1" t="s">
        <v>33</v>
      </c>
      <c r="B131" s="1"/>
      <c r="C131" s="1"/>
      <c r="D131" s="1"/>
      <c r="E131" s="1" t="s">
        <v>34</v>
      </c>
    </row>
    <row r="132" spans="1:5" x14ac:dyDescent="0.25">
      <c r="A132" s="1" t="s">
        <v>111</v>
      </c>
      <c r="B132" s="1"/>
      <c r="C132" s="1" t="s">
        <v>11</v>
      </c>
      <c r="D132" s="1"/>
      <c r="E132" s="1" t="s">
        <v>108</v>
      </c>
    </row>
    <row r="133" spans="1:5" x14ac:dyDescent="0.25">
      <c r="A133" s="1" t="str">
        <f>"Kenneth Kneppen"</f>
        <v>Kenneth Kneppen</v>
      </c>
      <c r="B133" s="1" t="str">
        <f>""</f>
        <v/>
      </c>
      <c r="C133" s="1" t="s">
        <v>66</v>
      </c>
      <c r="D133" s="1" t="str">
        <f>"201021"</f>
        <v>201021</v>
      </c>
      <c r="E133" s="1" t="str">
        <f>"Kneppen Transport AS"</f>
        <v>Kneppen Transport AS</v>
      </c>
    </row>
    <row r="134" spans="1:5" x14ac:dyDescent="0.25">
      <c r="A134" s="1" t="s">
        <v>234</v>
      </c>
      <c r="B134" s="1"/>
      <c r="C134" s="1" t="s">
        <v>11</v>
      </c>
      <c r="D134" s="1"/>
      <c r="E134" s="1" t="s">
        <v>235</v>
      </c>
    </row>
    <row r="135" spans="1:5" x14ac:dyDescent="0.25">
      <c r="A135" s="1" t="str">
        <f>"Kent Kneppen"</f>
        <v>Kent Kneppen</v>
      </c>
      <c r="B135" s="1" t="str">
        <f>"62951886"</f>
        <v>62951886</v>
      </c>
      <c r="C135" s="1" t="s">
        <v>218</v>
      </c>
      <c r="D135" s="1" t="str">
        <f>"201021"</f>
        <v>201021</v>
      </c>
      <c r="E135" s="1" t="str">
        <f>"Kneppen Transport AS"</f>
        <v>Kneppen Transport AS</v>
      </c>
    </row>
    <row r="136" spans="1:5" x14ac:dyDescent="0.25">
      <c r="A136" s="1" t="s">
        <v>286</v>
      </c>
      <c r="B136" s="1"/>
      <c r="C136" s="1"/>
      <c r="D136" s="1"/>
      <c r="E136" s="1" t="s">
        <v>47</v>
      </c>
    </row>
    <row r="137" spans="1:5" x14ac:dyDescent="0.25">
      <c r="A137" s="1" t="s">
        <v>233</v>
      </c>
      <c r="B137" s="1"/>
      <c r="C137" s="1" t="s">
        <v>11</v>
      </c>
      <c r="D137" s="1"/>
      <c r="E137" s="1" t="s">
        <v>235</v>
      </c>
    </row>
    <row r="138" spans="1:5" x14ac:dyDescent="0.25">
      <c r="A138" s="1" t="str">
        <f>"Kjell Dahle"</f>
        <v>Kjell Dahle</v>
      </c>
      <c r="B138" s="1" t="str">
        <f>"63990621"</f>
        <v>63990621</v>
      </c>
      <c r="C138" s="1" t="s">
        <v>43</v>
      </c>
      <c r="D138" s="1" t="str">
        <f>"200948"</f>
        <v>200948</v>
      </c>
      <c r="E138" s="1" t="str">
        <f>"Dahle Kjell"</f>
        <v>Dahle Kjell</v>
      </c>
    </row>
    <row r="139" spans="1:5" x14ac:dyDescent="0.25">
      <c r="A139" s="1" t="s">
        <v>209</v>
      </c>
      <c r="B139" s="1" t="str">
        <f>"62954838"</f>
        <v>62954838</v>
      </c>
      <c r="C139" s="1" t="s">
        <v>210</v>
      </c>
      <c r="D139" s="1" t="str">
        <f>"201025"</f>
        <v>201025</v>
      </c>
      <c r="E139" s="1" t="str">
        <f>"Udneseth Transport AS"</f>
        <v>Udneseth Transport AS</v>
      </c>
    </row>
    <row r="140" spans="1:5" x14ac:dyDescent="0.25">
      <c r="A140" s="1" t="s">
        <v>104</v>
      </c>
      <c r="B140" s="1"/>
      <c r="C140" s="1"/>
      <c r="D140" s="1"/>
      <c r="E140" s="1" t="s">
        <v>106</v>
      </c>
    </row>
    <row r="141" spans="1:5" x14ac:dyDescent="0.25">
      <c r="A141" s="1" t="s">
        <v>128</v>
      </c>
      <c r="B141" s="1"/>
      <c r="C141" s="1" t="s">
        <v>11</v>
      </c>
      <c r="D141" s="1"/>
      <c r="E141" s="1" t="str">
        <f>"Jpl Transport AS"</f>
        <v>Jpl Transport AS</v>
      </c>
    </row>
    <row r="142" spans="1:5" x14ac:dyDescent="0.25">
      <c r="A142" s="1" t="s">
        <v>333</v>
      </c>
      <c r="B142" s="1"/>
      <c r="C142" s="1" t="s">
        <v>334</v>
      </c>
      <c r="D142" s="1"/>
      <c r="E142" s="1" t="s">
        <v>335</v>
      </c>
    </row>
    <row r="143" spans="1:5" x14ac:dyDescent="0.25">
      <c r="A143" s="1" t="str">
        <f>"Kjell Roar Nygård"</f>
        <v>Kjell Roar Nygård</v>
      </c>
      <c r="B143" s="1" t="str">
        <f>"63855149"</f>
        <v>63855149</v>
      </c>
      <c r="C143" s="1"/>
      <c r="D143" s="1" t="str">
        <f>"0"</f>
        <v>0</v>
      </c>
      <c r="E143" s="1" t="str">
        <f>""</f>
        <v/>
      </c>
    </row>
    <row r="144" spans="1:5" x14ac:dyDescent="0.25">
      <c r="A144" s="1" t="s">
        <v>99</v>
      </c>
      <c r="B144" s="1" t="str">
        <f>"69137230"</f>
        <v>69137230</v>
      </c>
      <c r="C144" s="1" t="s">
        <v>100</v>
      </c>
      <c r="D144" s="1" t="str">
        <f>"200911"</f>
        <v>200911</v>
      </c>
      <c r="E144" s="1" t="str">
        <f>"Utne Transport AS"</f>
        <v>Utne Transport AS</v>
      </c>
    </row>
    <row r="145" spans="1:5" x14ac:dyDescent="0.25">
      <c r="A145" s="1" t="str">
        <f>"Knut Grøtting"</f>
        <v>Knut Grøtting</v>
      </c>
      <c r="B145" s="1" t="str">
        <f>""</f>
        <v/>
      </c>
      <c r="C145" s="1"/>
      <c r="D145" s="1" t="str">
        <f>"208703"</f>
        <v>208703</v>
      </c>
      <c r="E145" s="1" t="str">
        <f>"Grøtting Dyretransport AS"</f>
        <v>Grøtting Dyretransport AS</v>
      </c>
    </row>
    <row r="146" spans="1:5" x14ac:dyDescent="0.25">
      <c r="A146" s="1" t="s">
        <v>231</v>
      </c>
      <c r="B146" s="1"/>
      <c r="C146" s="1"/>
      <c r="D146" s="1"/>
      <c r="E146" s="1" t="s">
        <v>232</v>
      </c>
    </row>
    <row r="147" spans="1:5" x14ac:dyDescent="0.25">
      <c r="A147" s="1" t="str">
        <f>"Knut Henning Loberg"</f>
        <v>Knut Henning Loberg</v>
      </c>
      <c r="B147" s="1" t="str">
        <f>"61361742"</f>
        <v>61361742</v>
      </c>
      <c r="C147" s="1" t="s">
        <v>38</v>
      </c>
      <c r="D147" s="1" t="str">
        <f>"203030"</f>
        <v>203030</v>
      </c>
      <c r="E147" s="1" t="str">
        <f>"Loberg Transport"</f>
        <v>Loberg Transport</v>
      </c>
    </row>
    <row r="148" spans="1:5" x14ac:dyDescent="0.25">
      <c r="A148" s="1" t="str">
        <f>"Knut Henning Ruud"</f>
        <v>Knut Henning Ruud</v>
      </c>
      <c r="B148" s="1" t="str">
        <f>"62971373"</f>
        <v>62971373</v>
      </c>
      <c r="C148" s="1" t="s">
        <v>53</v>
      </c>
      <c r="D148" s="1" t="str">
        <f>"201076"</f>
        <v>201076</v>
      </c>
      <c r="E148" s="1" t="str">
        <f>"Ruuds Transport AS"</f>
        <v>Ruuds Transport AS</v>
      </c>
    </row>
    <row r="149" spans="1:5" x14ac:dyDescent="0.25">
      <c r="A149" s="1" t="s">
        <v>300</v>
      </c>
      <c r="B149" s="1"/>
      <c r="C149" s="1" t="s">
        <v>11</v>
      </c>
      <c r="D149" s="1"/>
      <c r="E149" s="1" t="s">
        <v>250</v>
      </c>
    </row>
    <row r="150" spans="1:5" x14ac:dyDescent="0.25">
      <c r="A150" s="1" t="str">
        <f>"Knut Slåttsveen"</f>
        <v>Knut Slåttsveen</v>
      </c>
      <c r="B150" s="1" t="str">
        <f>"61160018"</f>
        <v>61160018</v>
      </c>
      <c r="C150" s="1" t="s">
        <v>39</v>
      </c>
      <c r="D150" s="1" t="str">
        <f>"208072"</f>
        <v>208072</v>
      </c>
      <c r="E150" s="1" t="str">
        <f>"Slåttsveen Transport AS"</f>
        <v>Slåttsveen Transport AS</v>
      </c>
    </row>
    <row r="151" spans="1:5" x14ac:dyDescent="0.25">
      <c r="A151" s="1" t="s">
        <v>161</v>
      </c>
      <c r="B151" s="1"/>
      <c r="C151" s="1"/>
      <c r="D151" s="1"/>
      <c r="E151" s="1" t="s">
        <v>162</v>
      </c>
    </row>
    <row r="152" spans="1:5" x14ac:dyDescent="0.25">
      <c r="A152" s="1" t="s">
        <v>167</v>
      </c>
      <c r="B152" s="1"/>
      <c r="C152" s="1"/>
      <c r="D152" s="1"/>
      <c r="E152" s="1"/>
    </row>
    <row r="153" spans="1:5" x14ac:dyDescent="0.25">
      <c r="A153" s="1" t="str">
        <f>"Kåre Sormbråten"</f>
        <v>Kåre Sormbråten</v>
      </c>
      <c r="B153" s="1" t="str">
        <f>"62423659"</f>
        <v>62423659</v>
      </c>
      <c r="C153" s="1" t="s">
        <v>182</v>
      </c>
      <c r="D153" s="1" t="str">
        <f>"201477"</f>
        <v>201477</v>
      </c>
      <c r="E153" s="1" t="str">
        <f>"Sormbråten Kåre"</f>
        <v>Sormbråten Kåre</v>
      </c>
    </row>
    <row r="154" spans="1:5" x14ac:dyDescent="0.25">
      <c r="A154" s="1" t="s">
        <v>289</v>
      </c>
      <c r="B154" s="1"/>
      <c r="C154" s="1" t="s">
        <v>325</v>
      </c>
      <c r="D154" s="1"/>
      <c r="E154" s="1" t="s">
        <v>47</v>
      </c>
    </row>
    <row r="155" spans="1:5" x14ac:dyDescent="0.25">
      <c r="A155" s="1" t="str">
        <f>"Lars Fossum"</f>
        <v>Lars Fossum</v>
      </c>
      <c r="B155" s="1" t="str">
        <f>""</f>
        <v/>
      </c>
      <c r="C155" s="1" t="s">
        <v>199</v>
      </c>
      <c r="D155" s="1" t="str">
        <f>"200846"</f>
        <v>200846</v>
      </c>
      <c r="E155" s="1" t="str">
        <f>"Fossum Karsten AS"</f>
        <v>Fossum Karsten AS</v>
      </c>
    </row>
    <row r="156" spans="1:5" x14ac:dyDescent="0.25">
      <c r="A156" s="1" t="str">
        <f>"Lars Martin Breisjøberg"</f>
        <v>Lars Martin Breisjøberg</v>
      </c>
      <c r="B156" s="1" t="str">
        <f>"62828471"</f>
        <v>62828471</v>
      </c>
      <c r="C156" s="1" t="s">
        <v>58</v>
      </c>
      <c r="D156" s="1" t="str">
        <f>"202960"</f>
        <v>202960</v>
      </c>
      <c r="E156" s="1" t="str">
        <f>"Breisjøberg Transport"</f>
        <v>Breisjøberg Transport</v>
      </c>
    </row>
    <row r="157" spans="1:5" x14ac:dyDescent="0.25">
      <c r="A157" s="1" t="str">
        <f>"Lars Nicolaysen"</f>
        <v>Lars Nicolaysen</v>
      </c>
      <c r="B157" s="1" t="str">
        <f>""</f>
        <v/>
      </c>
      <c r="C157" s="1" t="s">
        <v>46</v>
      </c>
      <c r="D157" s="1" t="str">
        <f>"0"</f>
        <v>0</v>
      </c>
      <c r="E157" s="1" t="str">
        <f>""</f>
        <v/>
      </c>
    </row>
    <row r="158" spans="1:5" x14ac:dyDescent="0.25">
      <c r="A158" s="1" t="str">
        <f>"Lars Rune Hagen"</f>
        <v>Lars Rune Hagen</v>
      </c>
      <c r="B158" s="1" t="str">
        <f>""</f>
        <v/>
      </c>
      <c r="C158" s="1"/>
      <c r="D158" s="1" t="str">
        <f>"202773"</f>
        <v>202773</v>
      </c>
      <c r="E158" s="1" t="str">
        <f>"LRH Transport"</f>
        <v>LRH Transport</v>
      </c>
    </row>
    <row r="159" spans="1:5" x14ac:dyDescent="0.25">
      <c r="A159" s="1" t="s">
        <v>213</v>
      </c>
      <c r="B159" s="1"/>
      <c r="C159" s="1" t="s">
        <v>214</v>
      </c>
      <c r="D159" s="1"/>
      <c r="E159" s="1" t="str">
        <f>"Oskarsen Brødrene"</f>
        <v>Oskarsen Brødrene</v>
      </c>
    </row>
    <row r="160" spans="1:5" x14ac:dyDescent="0.25">
      <c r="A160" s="1" t="str">
        <f>"Leif S Lillestrøm"</f>
        <v>Leif S Lillestrøm</v>
      </c>
      <c r="B160" s="1" t="str">
        <f>"62489592"</f>
        <v>62489592</v>
      </c>
      <c r="C160" s="1" t="s">
        <v>144</v>
      </c>
      <c r="D160" s="1" t="str">
        <f>"200997"</f>
        <v>200997</v>
      </c>
      <c r="E160" s="1" t="str">
        <f>"Leif Sturla Lillestrøm Maskin og Transport AS"</f>
        <v>Leif Sturla Lillestrøm Maskin og Transport AS</v>
      </c>
    </row>
    <row r="161" spans="1:5" x14ac:dyDescent="0.25">
      <c r="A161" s="1" t="s">
        <v>219</v>
      </c>
      <c r="B161" s="1"/>
      <c r="C161" s="1" t="s">
        <v>220</v>
      </c>
      <c r="D161" s="1"/>
      <c r="E161" s="1" t="str">
        <f>"Kneppen Transport AS"</f>
        <v>Kneppen Transport AS</v>
      </c>
    </row>
    <row r="162" spans="1:5" x14ac:dyDescent="0.25">
      <c r="A162" s="1" t="s">
        <v>125</v>
      </c>
      <c r="B162" s="1"/>
      <c r="C162" s="1" t="s">
        <v>127</v>
      </c>
      <c r="D162" s="1"/>
      <c r="E162" s="1" t="str">
        <f>"Jpl Transport AS"</f>
        <v>Jpl Transport AS</v>
      </c>
    </row>
    <row r="163" spans="1:5" x14ac:dyDescent="0.25">
      <c r="A163" s="1" t="str">
        <f>"Magne Hanssen"</f>
        <v>Magne Hanssen</v>
      </c>
      <c r="B163" s="1" t="str">
        <f>"69921077"</f>
        <v>69921077</v>
      </c>
      <c r="C163" s="1" t="s">
        <v>79</v>
      </c>
      <c r="D163" s="1" t="str">
        <f>"202913"</f>
        <v>202913</v>
      </c>
      <c r="E163" s="1" t="str">
        <f>"Hanssen Magne Varetransport"</f>
        <v>Hanssen Magne Varetransport</v>
      </c>
    </row>
    <row r="164" spans="1:5" x14ac:dyDescent="0.25">
      <c r="A164" s="1" t="str">
        <f>"Magnus  Sjuve"</f>
        <v>Magnus  Sjuve</v>
      </c>
      <c r="B164" s="1" t="str">
        <f>""</f>
        <v/>
      </c>
      <c r="C164" s="1" t="s">
        <v>11</v>
      </c>
      <c r="D164" s="1" t="str">
        <f>"209210"</f>
        <v>209210</v>
      </c>
      <c r="E164" s="1" t="str">
        <f>"Magnus Sjuve"</f>
        <v>Magnus Sjuve</v>
      </c>
    </row>
    <row r="165" spans="1:5" x14ac:dyDescent="0.25">
      <c r="A165" s="1" t="str">
        <f>"Mai Grete Skjelsvold"</f>
        <v>Mai Grete Skjelsvold</v>
      </c>
      <c r="B165" s="1" t="str">
        <f>""</f>
        <v/>
      </c>
      <c r="C165" s="1"/>
      <c r="D165" s="1" t="str">
        <f>"0"</f>
        <v>0</v>
      </c>
      <c r="E165" s="1" t="str">
        <f>""</f>
        <v/>
      </c>
    </row>
    <row r="166" spans="1:5" x14ac:dyDescent="0.25">
      <c r="A166" s="1" t="s">
        <v>42</v>
      </c>
      <c r="B166" s="1"/>
      <c r="C166" s="1"/>
      <c r="D166" s="1"/>
      <c r="E166" s="1" t="s">
        <v>41</v>
      </c>
    </row>
    <row r="167" spans="1:5" x14ac:dyDescent="0.25">
      <c r="A167" s="1" t="s">
        <v>296</v>
      </c>
      <c r="B167" s="1"/>
      <c r="C167" s="1"/>
      <c r="D167" s="1"/>
      <c r="E167" s="1" t="s">
        <v>296</v>
      </c>
    </row>
    <row r="168" spans="1:5" x14ac:dyDescent="0.25">
      <c r="A168" s="1" t="s">
        <v>296</v>
      </c>
      <c r="B168" s="1"/>
      <c r="C168" s="1"/>
      <c r="D168" s="1"/>
      <c r="E168" s="1" t="s">
        <v>296</v>
      </c>
    </row>
    <row r="169" spans="1:5" x14ac:dyDescent="0.25">
      <c r="A169" s="1" t="s">
        <v>296</v>
      </c>
      <c r="B169" s="1"/>
      <c r="C169" s="1"/>
      <c r="D169" s="1"/>
      <c r="E169" s="1" t="s">
        <v>296</v>
      </c>
    </row>
    <row r="170" spans="1:5" x14ac:dyDescent="0.25">
      <c r="A170" s="1" t="s">
        <v>121</v>
      </c>
      <c r="B170" s="1"/>
      <c r="C170" s="1" t="s">
        <v>122</v>
      </c>
      <c r="D170" s="1"/>
      <c r="E170" s="1" t="s">
        <v>123</v>
      </c>
    </row>
    <row r="171" spans="1:5" x14ac:dyDescent="0.25">
      <c r="A171" s="1" t="s">
        <v>17</v>
      </c>
      <c r="B171" s="1"/>
      <c r="C171" s="1"/>
      <c r="D171" s="1"/>
      <c r="E171" s="1" t="s">
        <v>18</v>
      </c>
    </row>
    <row r="172" spans="1:5" x14ac:dyDescent="0.25">
      <c r="A172" s="1" t="s">
        <v>24</v>
      </c>
      <c r="B172" s="1"/>
      <c r="C172" s="1"/>
      <c r="D172" s="1"/>
      <c r="E172" s="1" t="s">
        <v>25</v>
      </c>
    </row>
    <row r="173" spans="1:5" x14ac:dyDescent="0.25">
      <c r="A173" s="1" t="str">
        <f>"Morten Engen"</f>
        <v>Morten Engen</v>
      </c>
      <c r="B173" s="1" t="str">
        <f>""</f>
        <v/>
      </c>
      <c r="C173" s="1" t="s">
        <v>243</v>
      </c>
      <c r="D173" s="1" t="str">
        <f>"202975"</f>
        <v>202975</v>
      </c>
      <c r="E173" s="1" t="str">
        <f>"Engens Transport AS"</f>
        <v>Engens Transport AS</v>
      </c>
    </row>
    <row r="174" spans="1:5" x14ac:dyDescent="0.25">
      <c r="A174" s="1" t="s">
        <v>195</v>
      </c>
      <c r="B174" s="1"/>
      <c r="C174" s="1"/>
      <c r="D174" s="1"/>
      <c r="E174" s="1" t="s">
        <v>196</v>
      </c>
    </row>
    <row r="175" spans="1:5" x14ac:dyDescent="0.25">
      <c r="A175" s="1" t="s">
        <v>80</v>
      </c>
      <c r="B175" s="1"/>
      <c r="C175" s="1" t="s">
        <v>81</v>
      </c>
      <c r="D175" s="1"/>
      <c r="E175" s="1" t="s">
        <v>82</v>
      </c>
    </row>
    <row r="176" spans="1:5" x14ac:dyDescent="0.25">
      <c r="A176" s="1" t="s">
        <v>130</v>
      </c>
      <c r="B176" s="1"/>
      <c r="C176" s="1"/>
      <c r="D176" s="1"/>
      <c r="E176" s="1" t="s">
        <v>136</v>
      </c>
    </row>
    <row r="177" spans="1:5" x14ac:dyDescent="0.25">
      <c r="A177" s="1" t="str">
        <f>"Morten Svenmoen"</f>
        <v>Morten Svenmoen</v>
      </c>
      <c r="B177" s="1" t="str">
        <f>""</f>
        <v/>
      </c>
      <c r="C177" s="1"/>
      <c r="D177" s="1" t="str">
        <f>"202700"</f>
        <v>202700</v>
      </c>
      <c r="E177" s="1" t="str">
        <f>"Mortens Kranservice AS"</f>
        <v>Mortens Kranservice AS</v>
      </c>
    </row>
    <row r="178" spans="1:5" x14ac:dyDescent="0.25">
      <c r="A178" s="1" t="str">
        <f>"Mortens Kranservice AS"</f>
        <v>Mortens Kranservice AS</v>
      </c>
      <c r="B178" s="1"/>
      <c r="C178" s="1"/>
      <c r="D178" s="1"/>
      <c r="E178" s="1" t="str">
        <f>"Mortens Kranservice AS"</f>
        <v>Mortens Kranservice AS</v>
      </c>
    </row>
    <row r="179" spans="1:5" x14ac:dyDescent="0.25">
      <c r="A179" s="1" t="str">
        <f>"Mortens Kranservice AS"</f>
        <v>Mortens Kranservice AS</v>
      </c>
      <c r="B179" s="1"/>
      <c r="C179" s="1"/>
      <c r="D179" s="1"/>
      <c r="E179" s="1" t="str">
        <f>"Mortens Kranservice AS"</f>
        <v>Mortens Kranservice AS</v>
      </c>
    </row>
    <row r="180" spans="1:5" x14ac:dyDescent="0.25">
      <c r="A180" s="1" t="str">
        <f>"Mortens Kranservice AS"</f>
        <v>Mortens Kranservice AS</v>
      </c>
      <c r="B180" s="1"/>
      <c r="C180" s="1"/>
      <c r="D180" s="1"/>
      <c r="E180" s="1" t="str">
        <f>"Mortens Kranservice AS"</f>
        <v>Mortens Kranservice AS</v>
      </c>
    </row>
    <row r="181" spans="1:5" x14ac:dyDescent="0.25">
      <c r="A181" s="1" t="str">
        <f>"Mortens Kranservice AS"</f>
        <v>Mortens Kranservice AS</v>
      </c>
      <c r="B181" s="1"/>
      <c r="C181" s="1"/>
      <c r="D181" s="1"/>
      <c r="E181" s="1" t="str">
        <f>"Mortens Kranservice AS"</f>
        <v>Mortens Kranservice AS</v>
      </c>
    </row>
    <row r="182" spans="1:5" x14ac:dyDescent="0.25">
      <c r="A182" s="1" t="s">
        <v>126</v>
      </c>
      <c r="B182" s="1"/>
      <c r="C182" s="1" t="s">
        <v>11</v>
      </c>
      <c r="D182" s="1"/>
      <c r="E182" s="1" t="str">
        <f>"Jpl Transport AS"</f>
        <v>Jpl Transport AS</v>
      </c>
    </row>
    <row r="183" spans="1:5" x14ac:dyDescent="0.25">
      <c r="A183" s="1" t="s">
        <v>271</v>
      </c>
      <c r="B183" s="1"/>
      <c r="C183" s="1"/>
      <c r="D183" s="1"/>
      <c r="E183" s="1" t="s">
        <v>154</v>
      </c>
    </row>
    <row r="184" spans="1:5" x14ac:dyDescent="0.25">
      <c r="A184" s="1" t="str">
        <f>"Nils Sverre Norin"</f>
        <v>Nils Sverre Norin</v>
      </c>
      <c r="B184" s="1" t="str">
        <f>"62484928"</f>
        <v>62484928</v>
      </c>
      <c r="C184" s="1" t="s">
        <v>245</v>
      </c>
      <c r="D184" s="1" t="str">
        <f>"200641"</f>
        <v>200641</v>
      </c>
      <c r="E184" s="1" t="str">
        <f>"Norin Nils Sverre"</f>
        <v>Norin Nils Sverre</v>
      </c>
    </row>
    <row r="185" spans="1:5" x14ac:dyDescent="0.25">
      <c r="A185" s="1" t="str">
        <f>"Odd Haakenstad"</f>
        <v>Odd Haakenstad</v>
      </c>
      <c r="B185" s="1" t="str">
        <f>""</f>
        <v/>
      </c>
      <c r="C185" s="1" t="s">
        <v>61</v>
      </c>
      <c r="D185" s="1" t="str">
        <f>"200683"</f>
        <v>200683</v>
      </c>
      <c r="E185" s="1" t="str">
        <f>"Haakenstad Odd"</f>
        <v>Haakenstad Odd</v>
      </c>
    </row>
    <row r="186" spans="1:5" x14ac:dyDescent="0.25">
      <c r="A186" s="1" t="s">
        <v>165</v>
      </c>
      <c r="B186" s="1"/>
      <c r="C186" s="1"/>
      <c r="D186" s="1"/>
      <c r="E186" s="1"/>
    </row>
    <row r="187" spans="1:5" x14ac:dyDescent="0.25">
      <c r="A187" s="1" t="str">
        <f>"Odd Klophus"</f>
        <v>Odd Klophus</v>
      </c>
      <c r="B187" s="1" t="str">
        <f>""</f>
        <v/>
      </c>
      <c r="C187" s="1" t="s">
        <v>257</v>
      </c>
      <c r="D187" s="1" t="str">
        <f>"200191"</f>
        <v>200191</v>
      </c>
      <c r="E187" s="1" t="str">
        <f>"Klophus Odd Transport AS"</f>
        <v>Klophus Odd Transport AS</v>
      </c>
    </row>
    <row r="188" spans="1:5" x14ac:dyDescent="0.25">
      <c r="A188" s="1" t="s">
        <v>273</v>
      </c>
      <c r="B188" s="1"/>
      <c r="C188" s="1" t="s">
        <v>274</v>
      </c>
      <c r="D188" s="1"/>
      <c r="E188" s="1" t="s">
        <v>47</v>
      </c>
    </row>
    <row r="189" spans="1:5" x14ac:dyDescent="0.25">
      <c r="A189" s="1" t="s">
        <v>168</v>
      </c>
      <c r="B189" s="1"/>
      <c r="C189" s="1"/>
      <c r="D189" s="1"/>
      <c r="E189" s="1"/>
    </row>
    <row r="190" spans="1:5" x14ac:dyDescent="0.25">
      <c r="A190" s="1" t="str">
        <f>"Oddbjørn Strøm"</f>
        <v>Oddbjørn Strøm</v>
      </c>
      <c r="B190" s="1" t="str">
        <f>"62353067"</f>
        <v>62353067</v>
      </c>
      <c r="C190" s="1" t="s">
        <v>244</v>
      </c>
      <c r="D190" s="1" t="str">
        <f>"201014"</f>
        <v>201014</v>
      </c>
      <c r="E190" s="1" t="str">
        <f>"Strøm Oddbjørn"</f>
        <v>Strøm Oddbjørn</v>
      </c>
    </row>
    <row r="191" spans="1:5" x14ac:dyDescent="0.25">
      <c r="A191" s="1" t="str">
        <f>"Oddmund Hjørnegård"</f>
        <v>Oddmund Hjørnegård</v>
      </c>
      <c r="B191" s="1" t="str">
        <f>"69319889"</f>
        <v>69319889</v>
      </c>
      <c r="C191" s="1" t="s">
        <v>197</v>
      </c>
      <c r="D191" s="1" t="str">
        <f>"201992"</f>
        <v>201992</v>
      </c>
      <c r="E191" s="1" t="str">
        <f>"Hjørnegård Oddmund"</f>
        <v>Hjørnegård Oddmund</v>
      </c>
    </row>
    <row r="192" spans="1:5" x14ac:dyDescent="0.25">
      <c r="A192" s="1" t="str">
        <f>"Oddmund Høyer-Ursin Jeppesen"</f>
        <v>Oddmund Høyer-Ursin Jeppesen</v>
      </c>
      <c r="B192" s="1" t="str">
        <f>""</f>
        <v/>
      </c>
      <c r="C192" s="1" t="s">
        <v>240</v>
      </c>
      <c r="D192" s="1" t="str">
        <f>"200184"</f>
        <v>200184</v>
      </c>
      <c r="E192" s="1" t="str">
        <f>"Jeppesen Kran og Transport"</f>
        <v>Jeppesen Kran og Transport</v>
      </c>
    </row>
    <row r="193" spans="1:5" x14ac:dyDescent="0.25">
      <c r="A193" s="1" t="s">
        <v>26</v>
      </c>
      <c r="B193" s="1"/>
      <c r="C193" s="1"/>
      <c r="D193" s="1"/>
      <c r="E193" s="1" t="s">
        <v>25</v>
      </c>
    </row>
    <row r="194" spans="1:5" x14ac:dyDescent="0.25">
      <c r="A194" s="1" t="s">
        <v>170</v>
      </c>
      <c r="B194" s="1"/>
      <c r="C194" s="1"/>
      <c r="D194" s="1"/>
      <c r="E194" s="1"/>
    </row>
    <row r="195" spans="1:5" x14ac:dyDescent="0.25">
      <c r="A195" s="1" t="s">
        <v>156</v>
      </c>
      <c r="B195" s="1"/>
      <c r="C195" s="1"/>
      <c r="D195" s="1"/>
      <c r="E195" s="1" t="s">
        <v>157</v>
      </c>
    </row>
    <row r="196" spans="1:5" x14ac:dyDescent="0.25">
      <c r="A196" s="1" t="s">
        <v>103</v>
      </c>
      <c r="B196" s="1"/>
      <c r="C196" s="1"/>
      <c r="D196" s="1"/>
      <c r="E196" s="1" t="s">
        <v>106</v>
      </c>
    </row>
    <row r="197" spans="1:5" x14ac:dyDescent="0.25">
      <c r="A197" s="1" t="str">
        <f>"Palmer Høgvoll"</f>
        <v>Palmer Høgvoll</v>
      </c>
      <c r="B197" s="1" t="str">
        <f>"61160512"</f>
        <v>61160512</v>
      </c>
      <c r="C197" s="1" t="s">
        <v>65</v>
      </c>
      <c r="D197" s="1" t="str">
        <f>"200728"</f>
        <v>200728</v>
      </c>
      <c r="E197" s="1" t="str">
        <f>"Transporttjenester AS"</f>
        <v>Transporttjenester AS</v>
      </c>
    </row>
    <row r="198" spans="1:5" x14ac:dyDescent="0.25">
      <c r="A198" s="1" t="s">
        <v>28</v>
      </c>
      <c r="B198" s="1"/>
      <c r="C198" s="1" t="s">
        <v>11</v>
      </c>
      <c r="D198" s="1"/>
      <c r="E198" s="1" t="s">
        <v>57</v>
      </c>
    </row>
    <row r="199" spans="1:5" x14ac:dyDescent="0.25">
      <c r="A199" s="1" t="s">
        <v>185</v>
      </c>
      <c r="B199" s="1"/>
      <c r="C199" s="1" t="s">
        <v>186</v>
      </c>
      <c r="D199" s="1"/>
      <c r="E199" s="1" t="str">
        <f>"Schjerpen Erik Transport AS"</f>
        <v>Schjerpen Erik Transport AS</v>
      </c>
    </row>
    <row r="200" spans="1:5" x14ac:dyDescent="0.25">
      <c r="A200" s="1" t="str">
        <f>"Per Asbjørn Hovland"</f>
        <v>Per Asbjørn Hovland</v>
      </c>
      <c r="B200" s="1" t="str">
        <f>"69193264"</f>
        <v>69193264</v>
      </c>
      <c r="C200" s="1" t="s">
        <v>189</v>
      </c>
      <c r="D200" s="1" t="str">
        <f>"208191"</f>
        <v>208191</v>
      </c>
      <c r="E200" s="1" t="str">
        <f>"Granheim Transport"</f>
        <v>Granheim Transport</v>
      </c>
    </row>
    <row r="201" spans="1:5" x14ac:dyDescent="0.25">
      <c r="A201" s="1" t="str">
        <f>"Per Esben Kristiansen"</f>
        <v>Per Esben Kristiansen</v>
      </c>
      <c r="B201" s="1" t="str">
        <f>"69256189"</f>
        <v>69256189</v>
      </c>
      <c r="C201" s="1" t="s">
        <v>9</v>
      </c>
      <c r="D201" s="1" t="str">
        <f>"209171"</f>
        <v>209171</v>
      </c>
      <c r="E201" s="1" t="str">
        <f>"Kristiansen Kran &amp; Transport AS"</f>
        <v>Kristiansen Kran &amp; Transport AS</v>
      </c>
    </row>
    <row r="202" spans="1:5" x14ac:dyDescent="0.25">
      <c r="A202" s="1" t="str">
        <f>"Per Inge Eriksen"</f>
        <v>Per Inge Eriksen</v>
      </c>
      <c r="B202" s="1" t="str">
        <f>""</f>
        <v/>
      </c>
      <c r="C202" s="1"/>
      <c r="D202" s="1" t="str">
        <f>"208609"</f>
        <v>208609</v>
      </c>
      <c r="E202" s="1" t="str">
        <f>"Eriksen Skogstransport AS"</f>
        <v>Eriksen Skogstransport AS</v>
      </c>
    </row>
    <row r="203" spans="1:5" x14ac:dyDescent="0.25">
      <c r="A203" s="1" t="s">
        <v>172</v>
      </c>
      <c r="B203" s="1"/>
      <c r="C203" s="1" t="s">
        <v>173</v>
      </c>
      <c r="D203" s="1"/>
      <c r="E203" s="1" t="s">
        <v>335</v>
      </c>
    </row>
    <row r="204" spans="1:5" x14ac:dyDescent="0.25">
      <c r="A204" s="1" t="s">
        <v>149</v>
      </c>
      <c r="B204" s="1"/>
      <c r="C204" s="1" t="s">
        <v>11</v>
      </c>
      <c r="D204" s="1"/>
      <c r="E204" s="1" t="s">
        <v>27</v>
      </c>
    </row>
    <row r="205" spans="1:5" x14ac:dyDescent="0.25">
      <c r="A205" s="1" t="str">
        <f>"Per Rune Høgvoll"</f>
        <v>Per Rune Høgvoll</v>
      </c>
      <c r="B205" s="1" t="str">
        <f>"61214383"</f>
        <v>61214383</v>
      </c>
      <c r="C205" s="1" t="s">
        <v>229</v>
      </c>
      <c r="D205" s="1" t="str">
        <f>"200166"</f>
        <v>200166</v>
      </c>
      <c r="E205" s="1" t="str">
        <f>"Høgvoll Brødrene AS"</f>
        <v>Høgvoll Brødrene AS</v>
      </c>
    </row>
    <row r="206" spans="1:5" x14ac:dyDescent="0.25">
      <c r="A206" s="1" t="str">
        <f>"Per Solerød"</f>
        <v>Per Solerød</v>
      </c>
      <c r="B206" s="1" t="str">
        <f>"69330207"</f>
        <v>69330207</v>
      </c>
      <c r="C206" s="1" t="s">
        <v>90</v>
      </c>
      <c r="D206" s="1" t="str">
        <f>"0"</f>
        <v>0</v>
      </c>
      <c r="E206" s="1" t="str">
        <f>""</f>
        <v/>
      </c>
    </row>
    <row r="207" spans="1:5" x14ac:dyDescent="0.25">
      <c r="A207" s="1" t="s">
        <v>236</v>
      </c>
      <c r="B207" s="1"/>
      <c r="C207" s="1"/>
      <c r="D207" s="1"/>
      <c r="E207" s="1" t="s">
        <v>237</v>
      </c>
    </row>
    <row r="208" spans="1:5" x14ac:dyDescent="0.25">
      <c r="A208" s="1" t="s">
        <v>91</v>
      </c>
      <c r="B208" s="1"/>
      <c r="C208" s="1"/>
      <c r="D208" s="1"/>
      <c r="E208" s="1" t="s">
        <v>47</v>
      </c>
    </row>
    <row r="209" spans="1:5" x14ac:dyDescent="0.25">
      <c r="A209" s="1" t="s">
        <v>95</v>
      </c>
      <c r="B209" s="1"/>
      <c r="C209" s="1"/>
      <c r="D209" s="1"/>
      <c r="E209" s="1" t="s">
        <v>98</v>
      </c>
    </row>
    <row r="210" spans="1:5" x14ac:dyDescent="0.25">
      <c r="A210" s="1" t="s">
        <v>317</v>
      </c>
      <c r="B210" s="1"/>
      <c r="C210" s="1"/>
      <c r="D210" s="1"/>
      <c r="E210" s="1" t="s">
        <v>22</v>
      </c>
    </row>
    <row r="211" spans="1:5" x14ac:dyDescent="0.25">
      <c r="A211" s="1" t="str">
        <f>"Petter Fjeller"</f>
        <v>Petter Fjeller</v>
      </c>
      <c r="B211" s="1" t="str">
        <f>"63818197"</f>
        <v>63818197</v>
      </c>
      <c r="C211" s="1" t="s">
        <v>2</v>
      </c>
      <c r="D211" s="1" t="str">
        <f>"204189"</f>
        <v>204189</v>
      </c>
      <c r="E211" s="1" t="str">
        <f>"Fjeller Petter Transport"</f>
        <v>Fjeller Petter Transport</v>
      </c>
    </row>
    <row r="212" spans="1:5" x14ac:dyDescent="0.25">
      <c r="A212" s="1" t="str">
        <f>"Petter Surnflødt"</f>
        <v>Petter Surnflødt</v>
      </c>
      <c r="B212" s="1" t="str">
        <f>"61225478"</f>
        <v>61225478</v>
      </c>
      <c r="C212" s="1" t="s">
        <v>181</v>
      </c>
      <c r="D212" s="1" t="str">
        <f>"200713"</f>
        <v>200713</v>
      </c>
      <c r="E212" s="1" t="str">
        <f>"Surnflødt Petter AS"</f>
        <v>Surnflødt Petter AS</v>
      </c>
    </row>
    <row r="213" spans="1:5" x14ac:dyDescent="0.25">
      <c r="A213" s="1" t="s">
        <v>278</v>
      </c>
      <c r="B213" s="1"/>
      <c r="C213" s="1"/>
      <c r="D213" s="1"/>
      <c r="E213" s="1" t="s">
        <v>246</v>
      </c>
    </row>
    <row r="214" spans="1:5" x14ac:dyDescent="0.25">
      <c r="A214" s="1" t="str">
        <f>"Ragnar Høitomt"</f>
        <v>Ragnar Høitomt</v>
      </c>
      <c r="B214" s="1" t="str">
        <f>"69284310"</f>
        <v>69284310</v>
      </c>
      <c r="C214" s="1" t="s">
        <v>188</v>
      </c>
      <c r="D214" s="1" t="str">
        <f>"0"</f>
        <v>0</v>
      </c>
      <c r="E214" s="1" t="str">
        <f>""</f>
        <v/>
      </c>
    </row>
    <row r="215" spans="1:5" x14ac:dyDescent="0.25">
      <c r="A215" s="1" t="str">
        <f>"Ragnar Larsen"</f>
        <v>Ragnar Larsen</v>
      </c>
      <c r="B215" s="1" t="str">
        <f>"69885217"</f>
        <v>69885217</v>
      </c>
      <c r="C215" s="1" t="s">
        <v>53</v>
      </c>
      <c r="D215" s="1" t="str">
        <f>"200881"</f>
        <v>200881</v>
      </c>
      <c r="E215" s="1" t="str">
        <f>"Larsen Ragnar Transport AS"</f>
        <v>Larsen Ragnar Transport AS</v>
      </c>
    </row>
    <row r="216" spans="1:5" x14ac:dyDescent="0.25">
      <c r="A216" s="1" t="str">
        <f>"Ragnar Thorstad"</f>
        <v>Ragnar Thorstad</v>
      </c>
      <c r="B216" s="1" t="str">
        <f>""</f>
        <v/>
      </c>
      <c r="C216" s="1" t="s">
        <v>101</v>
      </c>
      <c r="D216" s="1" t="str">
        <f>"202828"</f>
        <v>202828</v>
      </c>
      <c r="E216" s="1" t="str">
        <f>"Biri Transport AS"</f>
        <v>Biri Transport AS</v>
      </c>
    </row>
    <row r="217" spans="1:5" x14ac:dyDescent="0.25">
      <c r="A217" s="1" t="s">
        <v>259</v>
      </c>
      <c r="B217" s="1"/>
      <c r="C217" s="1"/>
      <c r="D217" s="1"/>
      <c r="E217" s="1"/>
    </row>
    <row r="218" spans="1:5" x14ac:dyDescent="0.25">
      <c r="A218" s="1" t="str">
        <f>"Raymond Nicolaysen"</f>
        <v>Raymond Nicolaysen</v>
      </c>
      <c r="B218" s="1" t="str">
        <f>"69129033"</f>
        <v>69129033</v>
      </c>
      <c r="C218" s="1" t="s">
        <v>115</v>
      </c>
      <c r="D218" s="1" t="str">
        <f>"201202"</f>
        <v>201202</v>
      </c>
      <c r="E218" s="1" t="str">
        <f>"Nicolaysen Raymond AS"</f>
        <v>Nicolaysen Raymond AS</v>
      </c>
    </row>
    <row r="219" spans="1:5" x14ac:dyDescent="0.25">
      <c r="A219" s="1" t="str">
        <f>"Reidar I Reinertsen"</f>
        <v>Reidar I Reinertsen</v>
      </c>
      <c r="B219" s="1" t="str">
        <f>"69377285"</f>
        <v>69377285</v>
      </c>
      <c r="C219" s="1"/>
      <c r="D219" s="1" t="str">
        <f>"200859"</f>
        <v>200859</v>
      </c>
      <c r="E219" s="1" t="str">
        <f>"Reinertsen Reidar I"</f>
        <v>Reinertsen Reidar I</v>
      </c>
    </row>
    <row r="220" spans="1:5" x14ac:dyDescent="0.25">
      <c r="A220" s="1" t="s">
        <v>153</v>
      </c>
      <c r="B220" s="1"/>
      <c r="C220" s="1"/>
      <c r="D220" s="1"/>
      <c r="E220" s="1" t="s">
        <v>152</v>
      </c>
    </row>
    <row r="221" spans="1:5" x14ac:dyDescent="0.25">
      <c r="A221" s="1" t="s">
        <v>287</v>
      </c>
      <c r="B221" s="1"/>
      <c r="C221" s="1" t="s">
        <v>330</v>
      </c>
      <c r="D221" s="1"/>
      <c r="E221" s="1" t="s">
        <v>47</v>
      </c>
    </row>
    <row r="222" spans="1:5" x14ac:dyDescent="0.25">
      <c r="A222" s="1" t="s">
        <v>171</v>
      </c>
      <c r="B222" s="1"/>
      <c r="C222" s="1"/>
      <c r="D222" s="1"/>
      <c r="E222" s="1"/>
    </row>
    <row r="223" spans="1:5" x14ac:dyDescent="0.25">
      <c r="A223" s="1" t="s">
        <v>327</v>
      </c>
      <c r="B223" s="1"/>
      <c r="C223" s="1" t="s">
        <v>328</v>
      </c>
      <c r="D223" s="1"/>
      <c r="E223" s="1" t="s">
        <v>155</v>
      </c>
    </row>
    <row r="224" spans="1:5" x14ac:dyDescent="0.25">
      <c r="A224" s="1" t="s">
        <v>102</v>
      </c>
      <c r="B224" s="1"/>
      <c r="C224" s="1"/>
      <c r="D224" s="1"/>
      <c r="E224" s="1" t="s">
        <v>106</v>
      </c>
    </row>
    <row r="225" spans="1:5" x14ac:dyDescent="0.25">
      <c r="A225" s="1" t="str">
        <f>"Runar Skogli"</f>
        <v>Runar Skogli</v>
      </c>
      <c r="B225" s="1" t="str">
        <f>"62974362"</f>
        <v>62974362</v>
      </c>
      <c r="C225" s="1" t="s">
        <v>118</v>
      </c>
      <c r="D225" s="1" t="str">
        <f>"201066"</f>
        <v>201066</v>
      </c>
      <c r="E225" s="1" t="str">
        <f>"Skogli Runar"</f>
        <v>Skogli Runar</v>
      </c>
    </row>
    <row r="226" spans="1:5" x14ac:dyDescent="0.25">
      <c r="A226" s="1" t="s">
        <v>285</v>
      </c>
      <c r="B226" s="1"/>
      <c r="C226" s="1" t="s">
        <v>329</v>
      </c>
      <c r="D226" s="1"/>
      <c r="E226" s="1" t="s">
        <v>47</v>
      </c>
    </row>
    <row r="227" spans="1:5" x14ac:dyDescent="0.25">
      <c r="A227" s="1" t="str">
        <f t="shared" ref="A227:A233" si="0">"Selje Transport AS"</f>
        <v>Selje Transport AS</v>
      </c>
      <c r="B227" s="1"/>
      <c r="C227" s="1"/>
      <c r="D227" s="1"/>
      <c r="E227" s="1" t="str">
        <f t="shared" ref="E227:E233" si="1">"Selje Transport AS"</f>
        <v>Selje Transport AS</v>
      </c>
    </row>
    <row r="228" spans="1:5" x14ac:dyDescent="0.25">
      <c r="A228" s="1" t="str">
        <f t="shared" si="0"/>
        <v>Selje Transport AS</v>
      </c>
      <c r="B228" s="1"/>
      <c r="C228" s="1"/>
      <c r="D228" s="1"/>
      <c r="E228" s="1" t="str">
        <f t="shared" si="1"/>
        <v>Selje Transport AS</v>
      </c>
    </row>
    <row r="229" spans="1:5" x14ac:dyDescent="0.25">
      <c r="A229" s="1" t="str">
        <f t="shared" si="0"/>
        <v>Selje Transport AS</v>
      </c>
      <c r="B229" s="1"/>
      <c r="C229" s="1"/>
      <c r="D229" s="1"/>
      <c r="E229" s="1" t="str">
        <f t="shared" si="1"/>
        <v>Selje Transport AS</v>
      </c>
    </row>
    <row r="230" spans="1:5" x14ac:dyDescent="0.25">
      <c r="A230" s="1" t="str">
        <f t="shared" si="0"/>
        <v>Selje Transport AS</v>
      </c>
      <c r="B230" s="1"/>
      <c r="C230" s="1"/>
      <c r="D230" s="1"/>
      <c r="E230" s="1" t="str">
        <f t="shared" si="1"/>
        <v>Selje Transport AS</v>
      </c>
    </row>
    <row r="231" spans="1:5" x14ac:dyDescent="0.25">
      <c r="A231" s="1" t="str">
        <f t="shared" si="0"/>
        <v>Selje Transport AS</v>
      </c>
      <c r="B231" s="1"/>
      <c r="C231" s="1"/>
      <c r="D231" s="1"/>
      <c r="E231" s="1" t="str">
        <f t="shared" si="1"/>
        <v>Selje Transport AS</v>
      </c>
    </row>
    <row r="232" spans="1:5" x14ac:dyDescent="0.25">
      <c r="A232" s="1" t="str">
        <f t="shared" si="0"/>
        <v>Selje Transport AS</v>
      </c>
      <c r="B232" s="1"/>
      <c r="C232" s="1"/>
      <c r="D232" s="1"/>
      <c r="E232" s="1" t="str">
        <f t="shared" si="1"/>
        <v>Selje Transport AS</v>
      </c>
    </row>
    <row r="233" spans="1:5" x14ac:dyDescent="0.25">
      <c r="A233" s="1" t="str">
        <f t="shared" si="0"/>
        <v>Selje Transport AS</v>
      </c>
      <c r="B233" s="1"/>
      <c r="C233" s="1"/>
      <c r="D233" s="1"/>
      <c r="E233" s="1" t="str">
        <f t="shared" si="1"/>
        <v>Selje Transport AS</v>
      </c>
    </row>
    <row r="234" spans="1:5" x14ac:dyDescent="0.25">
      <c r="A234" s="1" t="str">
        <f>"Simen Grimsrud"</f>
        <v>Simen Grimsrud</v>
      </c>
      <c r="B234" s="1" t="str">
        <f>""</f>
        <v/>
      </c>
      <c r="C234" s="1" t="s">
        <v>217</v>
      </c>
      <c r="D234" s="1" t="str">
        <f>"201667"</f>
        <v>201667</v>
      </c>
      <c r="E234" s="1" t="str">
        <f>"Grimsrud Simen"</f>
        <v>Grimsrud Simen</v>
      </c>
    </row>
    <row r="235" spans="1:5" x14ac:dyDescent="0.25">
      <c r="A235" s="1" t="str">
        <f>"Sindre Frilseth Kristiansen"</f>
        <v>Sindre Frilseth Kristiansen</v>
      </c>
      <c r="B235" s="1" t="str">
        <f>""</f>
        <v/>
      </c>
      <c r="C235" s="1" t="s">
        <v>6</v>
      </c>
      <c r="D235" s="1" t="str">
        <f>"201027"</f>
        <v>201027</v>
      </c>
      <c r="E235" s="1" t="str">
        <f>"Per E. Kristiansen Transport AS"</f>
        <v>Per E. Kristiansen Transport AS</v>
      </c>
    </row>
    <row r="236" spans="1:5" x14ac:dyDescent="0.25">
      <c r="A236" s="1" t="str">
        <f>"Stein Hesthagen"</f>
        <v>Stein Hesthagen</v>
      </c>
      <c r="B236" s="1" t="str">
        <f>"62369065"</f>
        <v>62369065</v>
      </c>
      <c r="C236" s="1" t="s">
        <v>62</v>
      </c>
      <c r="D236" s="1" t="str">
        <f>"201353"</f>
        <v>201353</v>
      </c>
      <c r="E236" s="1" t="str">
        <f>"Hesthagen Stein Transport"</f>
        <v>Hesthagen Stein Transport</v>
      </c>
    </row>
    <row r="237" spans="1:5" x14ac:dyDescent="0.25">
      <c r="A237" s="1" t="s">
        <v>35</v>
      </c>
      <c r="B237" s="1"/>
      <c r="C237" s="1"/>
      <c r="D237" s="1"/>
      <c r="E237" s="1" t="s">
        <v>34</v>
      </c>
    </row>
    <row r="238" spans="1:5" x14ac:dyDescent="0.25">
      <c r="A238" s="1" t="s">
        <v>281</v>
      </c>
      <c r="B238" s="1"/>
      <c r="C238" s="1" t="s">
        <v>282</v>
      </c>
      <c r="D238" s="1"/>
      <c r="E238" s="1" t="s">
        <v>275</v>
      </c>
    </row>
    <row r="239" spans="1:5" x14ac:dyDescent="0.25">
      <c r="A239" s="1" t="str">
        <f>"Stein Runo Lindemark"</f>
        <v>Stein Runo Lindemark</v>
      </c>
      <c r="B239" s="1" t="str">
        <f>"69199243"</f>
        <v>69199243</v>
      </c>
      <c r="C239" s="1" t="s">
        <v>191</v>
      </c>
      <c r="D239" s="1" t="str">
        <f>"201919"</f>
        <v>201919</v>
      </c>
      <c r="E239" s="1" t="str">
        <f>"Lindemark Transport AS"</f>
        <v>Lindemark Transport AS</v>
      </c>
    </row>
    <row r="240" spans="1:5" x14ac:dyDescent="0.25">
      <c r="A240" s="1" t="str">
        <f>"Steinar Enderød"</f>
        <v>Steinar Enderød</v>
      </c>
      <c r="B240" s="1" t="str">
        <f>"69288145"</f>
        <v>69288145</v>
      </c>
      <c r="C240" s="1"/>
      <c r="D240" s="1" t="str">
        <f>"200891"</f>
        <v>200891</v>
      </c>
      <c r="E240" s="1" t="str">
        <f>"Steinar Enderød AS"</f>
        <v>Steinar Enderød AS</v>
      </c>
    </row>
    <row r="241" spans="1:5" x14ac:dyDescent="0.25">
      <c r="A241" s="1" t="str">
        <f>"Steinar Kristiansen"</f>
        <v>Steinar Kristiansen</v>
      </c>
      <c r="B241" s="1" t="str">
        <f>"62347930"</f>
        <v>62347930</v>
      </c>
      <c r="C241" s="1" t="s">
        <v>5</v>
      </c>
      <c r="D241" s="1" t="str">
        <f>"201027"</f>
        <v>201027</v>
      </c>
      <c r="E241" s="1" t="str">
        <f>"Per E. Kristiansen Transport AS"</f>
        <v>Per E. Kristiansen Transport AS</v>
      </c>
    </row>
    <row r="242" spans="1:5" x14ac:dyDescent="0.25">
      <c r="A242" s="1" t="str">
        <f>"Stian Dalby Mathisen"</f>
        <v>Stian Dalby Mathisen</v>
      </c>
      <c r="B242" s="1" t="str">
        <f>""</f>
        <v/>
      </c>
      <c r="C242" s="1" t="s">
        <v>276</v>
      </c>
      <c r="D242" s="1" t="str">
        <f>"201126"</f>
        <v>201126</v>
      </c>
      <c r="E242" s="1" t="str">
        <f>"Containerservice Hadeland AS"</f>
        <v>Containerservice Hadeland AS</v>
      </c>
    </row>
    <row r="243" spans="1:5" x14ac:dyDescent="0.25">
      <c r="A243" s="1" t="s">
        <v>288</v>
      </c>
      <c r="B243" s="1"/>
      <c r="C243" s="1" t="s">
        <v>326</v>
      </c>
      <c r="D243" s="1"/>
      <c r="E243" s="1" t="s">
        <v>47</v>
      </c>
    </row>
    <row r="244" spans="1:5" x14ac:dyDescent="0.25">
      <c r="A244" s="1" t="str">
        <f>"Ståle Johnsrud"</f>
        <v>Ståle Johnsrud</v>
      </c>
      <c r="B244" s="1" t="str">
        <f>""</f>
        <v/>
      </c>
      <c r="C244" s="1" t="s">
        <v>205</v>
      </c>
      <c r="D244" s="1" t="str">
        <f>"208597"</f>
        <v>208597</v>
      </c>
      <c r="E244" s="1" t="str">
        <f>"Johnsrud Transport AS"</f>
        <v>Johnsrud Transport AS</v>
      </c>
    </row>
    <row r="245" spans="1:5" x14ac:dyDescent="0.25">
      <c r="A245" s="1" t="s">
        <v>133</v>
      </c>
      <c r="B245" s="1"/>
      <c r="C245" s="1" t="s">
        <v>135</v>
      </c>
      <c r="D245" s="1"/>
      <c r="E245" s="1" t="s">
        <v>136</v>
      </c>
    </row>
    <row r="246" spans="1:5" x14ac:dyDescent="0.25">
      <c r="A246" s="1" t="str">
        <f>"Svein Erik Aure"</f>
        <v>Svein Erik Aure</v>
      </c>
      <c r="B246" s="1" t="str">
        <f>"99209070"</f>
        <v>99209070</v>
      </c>
      <c r="C246" s="1" t="s">
        <v>67</v>
      </c>
      <c r="D246" s="1" t="str">
        <f>"0"</f>
        <v>0</v>
      </c>
      <c r="E246" s="1" t="str">
        <f>""</f>
        <v/>
      </c>
    </row>
    <row r="247" spans="1:5" x14ac:dyDescent="0.25">
      <c r="A247" s="1" t="s">
        <v>150</v>
      </c>
      <c r="B247" s="1"/>
      <c r="C247" s="1" t="s">
        <v>11</v>
      </c>
      <c r="D247" s="1"/>
      <c r="E247" s="1" t="s">
        <v>27</v>
      </c>
    </row>
    <row r="248" spans="1:5" x14ac:dyDescent="0.25">
      <c r="A248" s="1" t="str">
        <f>"Svein Karlsmoen"</f>
        <v>Svein Karlsmoen</v>
      </c>
      <c r="B248" s="1" t="str">
        <f>""</f>
        <v/>
      </c>
      <c r="C248" s="1" t="s">
        <v>207</v>
      </c>
      <c r="D248" s="1" t="str">
        <f>"201356"</f>
        <v>201356</v>
      </c>
      <c r="E248" s="1" t="str">
        <f>"Svein Karlsmoen Transport A/S"</f>
        <v>Svein Karlsmoen Transport A/S</v>
      </c>
    </row>
    <row r="249" spans="1:5" x14ac:dyDescent="0.25">
      <c r="A249" s="1" t="s">
        <v>316</v>
      </c>
      <c r="B249" s="1"/>
      <c r="C249" s="1"/>
      <c r="D249" s="1"/>
      <c r="E249" s="1" t="s">
        <v>22</v>
      </c>
    </row>
    <row r="250" spans="1:5" x14ac:dyDescent="0.25">
      <c r="A250" s="1" t="s">
        <v>298</v>
      </c>
      <c r="B250" s="1"/>
      <c r="C250" s="1"/>
      <c r="D250" s="1"/>
      <c r="E250" s="1" t="s">
        <v>299</v>
      </c>
    </row>
    <row r="251" spans="1:5" x14ac:dyDescent="0.25">
      <c r="A251" s="1" t="s">
        <v>131</v>
      </c>
      <c r="B251" s="1"/>
      <c r="C251" s="1"/>
      <c r="D251" s="1"/>
      <c r="E251" s="1" t="s">
        <v>136</v>
      </c>
    </row>
    <row r="252" spans="1:5" x14ac:dyDescent="0.25">
      <c r="A252" s="1" t="str">
        <f>"Svenn Harald Rønaas"</f>
        <v>Svenn Harald Rønaas</v>
      </c>
      <c r="B252" s="1" t="str">
        <f>"63820543"</f>
        <v>63820543</v>
      </c>
      <c r="C252" s="1"/>
      <c r="D252" s="1" t="str">
        <f>"201565"</f>
        <v>201565</v>
      </c>
      <c r="E252" s="1" t="str">
        <f>"Rønaas Svenn Harald"</f>
        <v>Rønaas Svenn Harald</v>
      </c>
    </row>
    <row r="253" spans="1:5" x14ac:dyDescent="0.25">
      <c r="A253" s="1" t="s">
        <v>49</v>
      </c>
      <c r="B253" s="1"/>
      <c r="C253" s="1" t="s">
        <v>11</v>
      </c>
      <c r="D253" s="1"/>
      <c r="E253" s="1" t="s">
        <v>50</v>
      </c>
    </row>
    <row r="254" spans="1:5" x14ac:dyDescent="0.25">
      <c r="A254" s="1" t="s">
        <v>29</v>
      </c>
      <c r="B254" s="1"/>
      <c r="C254" s="1"/>
      <c r="D254" s="1"/>
      <c r="E254" s="1" t="s">
        <v>57</v>
      </c>
    </row>
    <row r="255" spans="1:5" x14ac:dyDescent="0.25">
      <c r="A255" s="1" t="s">
        <v>137</v>
      </c>
      <c r="B255" s="1"/>
      <c r="C255" s="1"/>
      <c r="D255" s="1"/>
      <c r="E255" s="1" t="s">
        <v>139</v>
      </c>
    </row>
    <row r="256" spans="1:5" x14ac:dyDescent="0.25">
      <c r="A256" s="1" t="str">
        <f>"Thage Sørensen"</f>
        <v>Thage Sørensen</v>
      </c>
      <c r="B256" s="1" t="str">
        <f>"22620087"</f>
        <v>22620087</v>
      </c>
      <c r="C256" s="1" t="s">
        <v>206</v>
      </c>
      <c r="D256" s="1" t="str">
        <f>"201994"</f>
        <v>201994</v>
      </c>
      <c r="E256" s="1" t="str">
        <f>"Container &amp; Spesialtransport"</f>
        <v>Container &amp; Spesialtransport</v>
      </c>
    </row>
    <row r="257" spans="1:5" x14ac:dyDescent="0.25">
      <c r="A257" s="1" t="s">
        <v>40</v>
      </c>
      <c r="B257" s="1"/>
      <c r="C257" s="1"/>
      <c r="D257" s="1"/>
      <c r="E257" s="1" t="s">
        <v>41</v>
      </c>
    </row>
    <row r="258" spans="1:5" x14ac:dyDescent="0.25">
      <c r="A258" s="1" t="str">
        <f>"Thomas Fossum"</f>
        <v>Thomas Fossum</v>
      </c>
      <c r="B258" s="1" t="str">
        <f>"69391218"</f>
        <v>69391218</v>
      </c>
      <c r="C258" s="1" t="s">
        <v>11</v>
      </c>
      <c r="D258" s="1" t="str">
        <f>"200846"</f>
        <v>200846</v>
      </c>
      <c r="E258" s="1" t="str">
        <f>"Fossum Karsten AS"</f>
        <v>Fossum Karsten AS</v>
      </c>
    </row>
    <row r="259" spans="1:5" x14ac:dyDescent="0.25">
      <c r="A259" s="1" t="s">
        <v>56</v>
      </c>
      <c r="B259" s="1"/>
      <c r="C259" s="1"/>
      <c r="D259" s="1"/>
      <c r="E259" s="1" t="s">
        <v>21</v>
      </c>
    </row>
    <row r="260" spans="1:5" x14ac:dyDescent="0.25">
      <c r="A260" s="1" t="s">
        <v>318</v>
      </c>
      <c r="B260" s="1"/>
      <c r="C260" s="1"/>
      <c r="D260" s="1"/>
      <c r="E260" s="1" t="s">
        <v>22</v>
      </c>
    </row>
    <row r="261" spans="1:5" x14ac:dyDescent="0.25">
      <c r="A261" s="1" t="s">
        <v>59</v>
      </c>
      <c r="B261" s="1"/>
      <c r="C261" s="1" t="s">
        <v>53</v>
      </c>
      <c r="D261" s="1"/>
      <c r="E261" s="1" t="str">
        <f>"Breisjøberg Transport"</f>
        <v>Breisjøberg Transport</v>
      </c>
    </row>
    <row r="262" spans="1:5" x14ac:dyDescent="0.25">
      <c r="A262" s="1" t="s">
        <v>258</v>
      </c>
      <c r="B262" s="1"/>
      <c r="C262" s="1" t="s">
        <v>11</v>
      </c>
      <c r="D262" s="1"/>
      <c r="E262" s="1"/>
    </row>
    <row r="263" spans="1:5" x14ac:dyDescent="0.25">
      <c r="A263" s="1" t="s">
        <v>264</v>
      </c>
      <c r="B263" s="1"/>
      <c r="C263" s="1"/>
      <c r="D263" s="1"/>
      <c r="E263" s="1" t="s">
        <v>158</v>
      </c>
    </row>
    <row r="264" spans="1:5" x14ac:dyDescent="0.25">
      <c r="A264" s="1" t="str">
        <f>"Tom Gudmundsen"</f>
        <v>Tom Gudmundsen</v>
      </c>
      <c r="B264" s="1" t="str">
        <f>"63997198"</f>
        <v>63997198</v>
      </c>
      <c r="C264" s="1" t="s">
        <v>69</v>
      </c>
      <c r="D264" s="1" t="str">
        <f>"201390"</f>
        <v>201390</v>
      </c>
      <c r="E264" s="1" t="str">
        <f>"Gudmundsen Tom Transport"</f>
        <v>Gudmundsen Tom Transport</v>
      </c>
    </row>
    <row r="265" spans="1:5" x14ac:dyDescent="0.25">
      <c r="A265" s="1" t="s">
        <v>89</v>
      </c>
      <c r="B265" s="1"/>
      <c r="C265" s="1" t="s">
        <v>11</v>
      </c>
      <c r="D265" s="1"/>
      <c r="E265" s="1" t="s">
        <v>48</v>
      </c>
    </row>
    <row r="266" spans="1:5" x14ac:dyDescent="0.25">
      <c r="A266" s="1" t="str">
        <f>"Tommy Engen"</f>
        <v>Tommy Engen</v>
      </c>
      <c r="B266" s="1" t="str">
        <f>""</f>
        <v/>
      </c>
      <c r="C266" s="1"/>
      <c r="D266" s="1" t="str">
        <f>"200639"</f>
        <v>200639</v>
      </c>
      <c r="E266" s="1" t="str">
        <f>"Tommy og Gunnars Transport AS"</f>
        <v>Tommy og Gunnars Transport AS</v>
      </c>
    </row>
    <row r="267" spans="1:5" x14ac:dyDescent="0.25">
      <c r="A267" s="1" t="s">
        <v>7</v>
      </c>
      <c r="B267" s="1"/>
      <c r="C267" s="1" t="s">
        <v>8</v>
      </c>
      <c r="D267" s="1"/>
      <c r="E267" s="1" t="str">
        <f>"Per E. Kristiansen Transport AS"</f>
        <v>Per E. Kristiansen Transport AS</v>
      </c>
    </row>
    <row r="268" spans="1:5" x14ac:dyDescent="0.25">
      <c r="A268" s="1" t="s">
        <v>97</v>
      </c>
      <c r="B268" s="1"/>
      <c r="C268" s="1"/>
      <c r="D268" s="1"/>
      <c r="E268" s="1" t="s">
        <v>98</v>
      </c>
    </row>
    <row r="269" spans="1:5" x14ac:dyDescent="0.25">
      <c r="A269" s="1" t="s">
        <v>138</v>
      </c>
      <c r="B269" s="1"/>
      <c r="C269" s="1" t="s">
        <v>11</v>
      </c>
      <c r="D269" s="1"/>
      <c r="E269" s="1" t="s">
        <v>139</v>
      </c>
    </row>
    <row r="270" spans="1:5" x14ac:dyDescent="0.25">
      <c r="A270" s="1" t="str">
        <f>"Tor Arne Øyen"</f>
        <v>Tor Arne Øyen</v>
      </c>
      <c r="B270" s="1" t="str">
        <f>"22756661"</f>
        <v>22756661</v>
      </c>
      <c r="C270" s="1" t="s">
        <v>140</v>
      </c>
      <c r="D270" s="1" t="str">
        <f>"202672"</f>
        <v>202672</v>
      </c>
      <c r="E270" s="1" t="str">
        <f>"Tankcontainertransport AS"</f>
        <v>Tankcontainertransport AS</v>
      </c>
    </row>
    <row r="271" spans="1:5" x14ac:dyDescent="0.25">
      <c r="A271" s="1" t="str">
        <f>"Tor Vidar Frydenlund"</f>
        <v>Tor Vidar Frydenlund</v>
      </c>
      <c r="B271" s="1" t="str">
        <f>"63978600"</f>
        <v>63978600</v>
      </c>
      <c r="C271" s="1" t="s">
        <v>262</v>
      </c>
      <c r="D271" s="1" t="str">
        <f>"202286"</f>
        <v>202286</v>
      </c>
      <c r="E271" s="1" t="str">
        <f>"Frydenlund Gasstransport AS"</f>
        <v>Frydenlund Gasstransport AS</v>
      </c>
    </row>
    <row r="272" spans="1:5" x14ac:dyDescent="0.25">
      <c r="A272" s="1" t="s">
        <v>280</v>
      </c>
      <c r="B272" s="1"/>
      <c r="C272" s="1"/>
      <c r="D272" s="1"/>
      <c r="E272" s="1" t="s">
        <v>246</v>
      </c>
    </row>
    <row r="273" spans="1:5" x14ac:dyDescent="0.25">
      <c r="A273" s="1" t="str">
        <f>"Torbjørn Surnflødt"</f>
        <v>Torbjørn Surnflødt</v>
      </c>
      <c r="B273" s="1" t="str">
        <f>"61225478"</f>
        <v>61225478</v>
      </c>
      <c r="C273" s="1"/>
      <c r="D273" s="1" t="str">
        <f>"200713"</f>
        <v>200713</v>
      </c>
      <c r="E273" s="1" t="str">
        <f>"Surnflødt Petter AS"</f>
        <v>Surnflødt Petter AS</v>
      </c>
    </row>
    <row r="274" spans="1:5" x14ac:dyDescent="0.25">
      <c r="A274" s="1" t="s">
        <v>336</v>
      </c>
      <c r="B274" s="1"/>
      <c r="C274" s="1"/>
      <c r="D274" s="1"/>
      <c r="E274" s="1" t="s">
        <v>335</v>
      </c>
    </row>
    <row r="275" spans="1:5" x14ac:dyDescent="0.25">
      <c r="A275" s="1" t="str">
        <f>"Tore Velten"</f>
        <v>Tore Velten</v>
      </c>
      <c r="B275" s="1" t="str">
        <f>"62413011"</f>
        <v>62413011</v>
      </c>
      <c r="C275" s="1" t="s">
        <v>60</v>
      </c>
      <c r="D275" s="1" t="str">
        <f>"203019"</f>
        <v>203019</v>
      </c>
      <c r="E275" s="1" t="str">
        <f>"Velten Tore"</f>
        <v>Velten Tore</v>
      </c>
    </row>
    <row r="276" spans="1:5" x14ac:dyDescent="0.25">
      <c r="A276" s="1" t="str">
        <f>"Torgeir Grini"</f>
        <v>Torgeir Grini</v>
      </c>
      <c r="B276" s="1" t="str">
        <f>""</f>
        <v/>
      </c>
      <c r="C276" s="1" t="s">
        <v>147</v>
      </c>
      <c r="D276" s="1" t="str">
        <f>"201498"</f>
        <v>201498</v>
      </c>
      <c r="E276" s="1" t="str">
        <f>"Grini Torgeir"</f>
        <v>Grini Torgeir</v>
      </c>
    </row>
    <row r="277" spans="1:5" x14ac:dyDescent="0.25">
      <c r="A277" s="1" t="s">
        <v>202</v>
      </c>
      <c r="B277" s="1"/>
      <c r="C277" s="1" t="s">
        <v>203</v>
      </c>
      <c r="D277" s="1"/>
      <c r="E277" s="1" t="str">
        <f>"Hesthagen Stein Transport"</f>
        <v>Hesthagen Stein Transport</v>
      </c>
    </row>
    <row r="278" spans="1:5" x14ac:dyDescent="0.25">
      <c r="A278" s="1" t="s">
        <v>227</v>
      </c>
      <c r="B278" s="1"/>
      <c r="C278" s="1" t="s">
        <v>11</v>
      </c>
      <c r="D278" s="1"/>
      <c r="E278" s="1" t="str">
        <f>"Kneppen Transport AS"</f>
        <v>Kneppen Transport AS</v>
      </c>
    </row>
    <row r="279" spans="1:5" x14ac:dyDescent="0.25">
      <c r="A279" s="1" t="s">
        <v>96</v>
      </c>
      <c r="B279" s="1"/>
      <c r="C279" s="1"/>
      <c r="D279" s="1"/>
      <c r="E279" s="1" t="s">
        <v>98</v>
      </c>
    </row>
    <row r="280" spans="1:5" x14ac:dyDescent="0.25">
      <c r="A280" s="1" t="str">
        <f>"Trond Nesseth"</f>
        <v>Trond Nesseth</v>
      </c>
      <c r="B280" s="1" t="str">
        <f>"62481146"</f>
        <v>62481146</v>
      </c>
      <c r="C280" s="1" t="s">
        <v>145</v>
      </c>
      <c r="D280" s="1" t="str">
        <f>"202554"</f>
        <v>202554</v>
      </c>
      <c r="E280" s="1" t="str">
        <f>"Mobilgrus AS"</f>
        <v>Mobilgrus AS</v>
      </c>
    </row>
    <row r="281" spans="1:5" x14ac:dyDescent="0.25">
      <c r="A281" s="1" t="str">
        <f>"Trond Ola Grue"</f>
        <v>Trond Ola Grue</v>
      </c>
      <c r="B281" s="1" t="str">
        <f>""</f>
        <v/>
      </c>
      <c r="C281" s="1" t="s">
        <v>239</v>
      </c>
      <c r="D281" s="1" t="str">
        <f>"208610"</f>
        <v>208610</v>
      </c>
      <c r="E281" s="1" t="str">
        <f>"Grue Tømmertransport AS"</f>
        <v>Grue Tømmertransport AS</v>
      </c>
    </row>
    <row r="282" spans="1:5" x14ac:dyDescent="0.25">
      <c r="A282" s="1" t="s">
        <v>15</v>
      </c>
      <c r="B282" s="1"/>
      <c r="C282" s="1" t="s">
        <v>292</v>
      </c>
      <c r="D282" s="1"/>
      <c r="E282" s="1" t="s">
        <v>14</v>
      </c>
    </row>
    <row r="283" spans="1:5" x14ac:dyDescent="0.25">
      <c r="A283" s="1" t="str">
        <f>"Trond Råkil"</f>
        <v>Trond Råkil</v>
      </c>
      <c r="B283" s="1" t="str">
        <f>"69143582"</f>
        <v>69143582</v>
      </c>
      <c r="C283" s="1" t="s">
        <v>117</v>
      </c>
      <c r="D283" s="1" t="str">
        <f>"201204"</f>
        <v>201204</v>
      </c>
      <c r="E283" s="1" t="str">
        <f>"Råkil Trond Transport AS"</f>
        <v>Råkil Trond Transport AS</v>
      </c>
    </row>
    <row r="284" spans="1:5" x14ac:dyDescent="0.25">
      <c r="A284" s="1" t="s">
        <v>152</v>
      </c>
      <c r="B284" s="1"/>
      <c r="C284" s="1"/>
      <c r="D284" s="1"/>
      <c r="E284" s="1" t="s">
        <v>152</v>
      </c>
    </row>
    <row r="285" spans="1:5" x14ac:dyDescent="0.25">
      <c r="A285" s="1" t="s">
        <v>322</v>
      </c>
      <c r="B285" s="1"/>
      <c r="C285" s="1"/>
      <c r="D285" s="1"/>
      <c r="E285" s="1" t="s">
        <v>252</v>
      </c>
    </row>
    <row r="286" spans="1:5" x14ac:dyDescent="0.25">
      <c r="A286" s="1" t="s">
        <v>268</v>
      </c>
      <c r="B286" s="1"/>
      <c r="C286" s="1" t="s">
        <v>11</v>
      </c>
      <c r="D286" s="1"/>
      <c r="E286" s="1" t="s">
        <v>154</v>
      </c>
    </row>
    <row r="287" spans="1:5" x14ac:dyDescent="0.25">
      <c r="A287" s="1" t="str">
        <f>"Vidar Lier"</f>
        <v>Vidar Lier</v>
      </c>
      <c r="B287" s="1" t="str">
        <f>"69809424"</f>
        <v>69809424</v>
      </c>
      <c r="C287" s="1" t="s">
        <v>55</v>
      </c>
      <c r="D287" s="1" t="str">
        <f>"200887"</f>
        <v>200887</v>
      </c>
      <c r="E287" s="1" t="str">
        <f>"Lier Vidar"</f>
        <v>Lier Vidar</v>
      </c>
    </row>
    <row r="288" spans="1:5" x14ac:dyDescent="0.25">
      <c r="A288" s="1" t="s">
        <v>310</v>
      </c>
      <c r="B288" s="1"/>
      <c r="C288" s="1"/>
      <c r="D288" s="1"/>
      <c r="E288" s="1" t="s">
        <v>311</v>
      </c>
    </row>
    <row r="289" spans="1:5" x14ac:dyDescent="0.25">
      <c r="A289" s="1" t="s">
        <v>87</v>
      </c>
      <c r="B289" s="1"/>
      <c r="C289" s="1" t="s">
        <v>85</v>
      </c>
      <c r="D289" s="1"/>
      <c r="E289" s="1" t="s">
        <v>86</v>
      </c>
    </row>
    <row r="290" spans="1:5" x14ac:dyDescent="0.25">
      <c r="A290" s="1" t="str">
        <f>"Øivind Løken"</f>
        <v>Øivind Løken</v>
      </c>
      <c r="B290" s="1" t="str">
        <f>"69819660"</f>
        <v>69819660</v>
      </c>
      <c r="C290" s="1" t="s">
        <v>78</v>
      </c>
      <c r="D290" s="1" t="str">
        <f>"202029"</f>
        <v>202029</v>
      </c>
      <c r="E290" s="1" t="str">
        <f>"Askim Transport og Logistikk AS"</f>
        <v>Askim Transport og Logistikk AS</v>
      </c>
    </row>
    <row r="291" spans="1:5" x14ac:dyDescent="0.25">
      <c r="A291" s="1" t="str">
        <f>"Øystein Barstad"</f>
        <v>Øystein Barstad</v>
      </c>
      <c r="B291" s="1" t="str">
        <f>""</f>
        <v/>
      </c>
      <c r="C291" s="1" t="s">
        <v>215</v>
      </c>
      <c r="D291" s="1" t="str">
        <f>"200729"</f>
        <v>200729</v>
      </c>
      <c r="E291" s="1" t="str">
        <f>"Barstad Øystein"</f>
        <v>Barstad Øystein</v>
      </c>
    </row>
    <row r="292" spans="1:5" x14ac:dyDescent="0.25">
      <c r="A292" s="1" t="s">
        <v>129</v>
      </c>
      <c r="B292" s="1"/>
      <c r="C292" s="1"/>
      <c r="D292" s="1"/>
      <c r="E292" s="1" t="s">
        <v>136</v>
      </c>
    </row>
    <row r="293" spans="1:5" x14ac:dyDescent="0.25">
      <c r="A293" s="1" t="s">
        <v>266</v>
      </c>
      <c r="B293" s="1"/>
      <c r="C293" s="1"/>
      <c r="D293" s="1"/>
      <c r="E293" s="1" t="s">
        <v>249</v>
      </c>
    </row>
    <row r="294" spans="1:5" x14ac:dyDescent="0.25">
      <c r="A294" s="1" t="str">
        <f>"Åge Oskarsen"</f>
        <v>Åge Oskarsen</v>
      </c>
      <c r="B294" s="1" t="str">
        <f>""</f>
        <v/>
      </c>
      <c r="C294" s="1" t="s">
        <v>212</v>
      </c>
      <c r="D294" s="1" t="str">
        <f>"200676"</f>
        <v>200676</v>
      </c>
      <c r="E294" s="1" t="str">
        <f>"Oskarsen Brødrene"</f>
        <v>Oskarsen Brødrene</v>
      </c>
    </row>
    <row r="295" spans="1:5" x14ac:dyDescent="0.25">
      <c r="A295" s="1" t="str">
        <f>"Åge Widme"</f>
        <v>Åge Widme</v>
      </c>
      <c r="B295" s="1" t="str">
        <f>"61296750"</f>
        <v>61296750</v>
      </c>
      <c r="C295" s="1" t="s">
        <v>64</v>
      </c>
      <c r="D295" s="1" t="str">
        <f>"201044"</f>
        <v>201044</v>
      </c>
      <c r="E295" s="1" t="str">
        <f>"Åge Widme Transport"</f>
        <v>Åge Widme Transport</v>
      </c>
    </row>
  </sheetData>
  <sortState ref="A2:G296">
    <sortCondition ref="A2:A29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Eksport1422873738</vt:lpstr>
      <vt:lpstr>Ark3</vt:lpstr>
      <vt:lpstr>Ark2</vt:lpstr>
      <vt:lpstr>Ark1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Guttorm Tysnes</dc:creator>
  <cp:lastModifiedBy>SRP</cp:lastModifiedBy>
  <cp:lastPrinted>2015-09-08T11:28:20Z</cp:lastPrinted>
  <dcterms:created xsi:type="dcterms:W3CDTF">2015-02-02T10:46:49Z</dcterms:created>
  <dcterms:modified xsi:type="dcterms:W3CDTF">2015-10-15T08:00:04Z</dcterms:modified>
</cp:coreProperties>
</file>